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#CELLULE WEB\VHU\"/>
    </mc:Choice>
  </mc:AlternateContent>
  <bookViews>
    <workbookView xWindow="0" yWindow="0" windowWidth="25200" windowHeight="11736"/>
  </bookViews>
  <sheets>
    <sheet name="20260414_REF_CENTRE_VHU-2" sheetId="1" r:id="rId1"/>
  </sheets>
  <definedNames>
    <definedName name="_xlnm._FilterDatabase" localSheetId="0" hidden="1">'20260414_REF_CENTRE_VHU-2'!$A$9:$I$3611</definedName>
  </definedNames>
  <calcPr calcId="152511"/>
</workbook>
</file>

<file path=xl/calcChain.xml><?xml version="1.0" encoding="utf-8"?>
<calcChain xmlns="http://schemas.openxmlformats.org/spreadsheetml/2006/main">
  <c r="A3475" i="1" l="1"/>
  <c r="B3475" i="1"/>
  <c r="E3475" i="1"/>
  <c r="H3475" i="1"/>
  <c r="I3475" i="1"/>
  <c r="A3471" i="1"/>
  <c r="B3471" i="1"/>
  <c r="E3471" i="1"/>
  <c r="H3471" i="1"/>
  <c r="I3471" i="1"/>
  <c r="A3481" i="1"/>
  <c r="B3481" i="1"/>
  <c r="E3481" i="1"/>
  <c r="H3481" i="1"/>
  <c r="I3481" i="1"/>
  <c r="A3491" i="1"/>
  <c r="B3491" i="1"/>
  <c r="E3491" i="1"/>
  <c r="H3491" i="1"/>
  <c r="I3491" i="1"/>
  <c r="A3485" i="1"/>
  <c r="B3485" i="1"/>
  <c r="E3485" i="1"/>
  <c r="H3485" i="1"/>
  <c r="I3485" i="1"/>
  <c r="A3493" i="1"/>
  <c r="B3493" i="1"/>
  <c r="E3493" i="1"/>
  <c r="H3493" i="1"/>
  <c r="I3493" i="1"/>
  <c r="A3477" i="1"/>
  <c r="B3477" i="1"/>
  <c r="E3477" i="1"/>
  <c r="H3477" i="1"/>
  <c r="I3477" i="1"/>
  <c r="A3489" i="1"/>
  <c r="B3489" i="1"/>
  <c r="E3489" i="1"/>
  <c r="H3489" i="1"/>
  <c r="I3489" i="1"/>
  <c r="A3483" i="1"/>
  <c r="B3483" i="1"/>
  <c r="E3483" i="1"/>
  <c r="H3483" i="1"/>
  <c r="I3483" i="1"/>
  <c r="A3469" i="1"/>
  <c r="B3469" i="1"/>
  <c r="E3469" i="1"/>
  <c r="H3469" i="1"/>
  <c r="I3469" i="1"/>
  <c r="A3479" i="1"/>
  <c r="B3479" i="1"/>
  <c r="E3479" i="1"/>
  <c r="H3479" i="1"/>
  <c r="I3479" i="1"/>
  <c r="A3473" i="1"/>
  <c r="B3473" i="1"/>
  <c r="E3473" i="1"/>
  <c r="H3473" i="1"/>
  <c r="I3473" i="1"/>
  <c r="A3487" i="1"/>
  <c r="B3487" i="1"/>
  <c r="E3487" i="1"/>
  <c r="H3487" i="1"/>
  <c r="I3487" i="1"/>
  <c r="A3495" i="1"/>
  <c r="B3495" i="1"/>
  <c r="E3495" i="1"/>
  <c r="H3495" i="1"/>
  <c r="I3495" i="1"/>
  <c r="A3476" i="1"/>
  <c r="B3476" i="1"/>
  <c r="E3476" i="1"/>
  <c r="H3476" i="1"/>
  <c r="I3476" i="1"/>
  <c r="A3472" i="1"/>
  <c r="B3472" i="1"/>
  <c r="E3472" i="1"/>
  <c r="H3472" i="1"/>
  <c r="I3472" i="1"/>
  <c r="A3482" i="1"/>
  <c r="B3482" i="1"/>
  <c r="E3482" i="1"/>
  <c r="H3482" i="1"/>
  <c r="I3482" i="1"/>
  <c r="A3492" i="1"/>
  <c r="B3492" i="1"/>
  <c r="E3492" i="1"/>
  <c r="H3492" i="1"/>
  <c r="I3492" i="1"/>
  <c r="A3486" i="1"/>
  <c r="B3486" i="1"/>
  <c r="E3486" i="1"/>
  <c r="H3486" i="1"/>
  <c r="I3486" i="1"/>
  <c r="A3494" i="1"/>
  <c r="B3494" i="1"/>
  <c r="E3494" i="1"/>
  <c r="H3494" i="1"/>
  <c r="I3494" i="1"/>
  <c r="A3478" i="1"/>
  <c r="B3478" i="1"/>
  <c r="E3478" i="1"/>
  <c r="H3478" i="1"/>
  <c r="I3478" i="1"/>
  <c r="A3490" i="1"/>
  <c r="B3490" i="1"/>
  <c r="E3490" i="1"/>
  <c r="H3490" i="1"/>
  <c r="I3490" i="1"/>
  <c r="A3484" i="1"/>
  <c r="B3484" i="1"/>
  <c r="E3484" i="1"/>
  <c r="H3484" i="1"/>
  <c r="I3484" i="1"/>
  <c r="A3470" i="1"/>
  <c r="B3470" i="1"/>
  <c r="E3470" i="1"/>
  <c r="H3470" i="1"/>
  <c r="I3470" i="1"/>
  <c r="A3480" i="1"/>
  <c r="B3480" i="1"/>
  <c r="E3480" i="1"/>
  <c r="H3480" i="1"/>
  <c r="I3480" i="1"/>
  <c r="A3474" i="1"/>
  <c r="B3474" i="1"/>
  <c r="E3474" i="1"/>
  <c r="H3474" i="1"/>
  <c r="I3474" i="1"/>
  <c r="A3488" i="1"/>
  <c r="B3488" i="1"/>
  <c r="E3488" i="1"/>
  <c r="H3488" i="1"/>
  <c r="I3488" i="1"/>
  <c r="A3496" i="1"/>
  <c r="B3496" i="1"/>
  <c r="E3496" i="1"/>
  <c r="H3496" i="1"/>
  <c r="I3496" i="1"/>
  <c r="A989" i="1"/>
  <c r="B989" i="1"/>
  <c r="E989" i="1"/>
  <c r="H989" i="1"/>
  <c r="I989" i="1"/>
  <c r="A1030" i="1"/>
  <c r="B1030" i="1"/>
  <c r="E1030" i="1"/>
  <c r="H1030" i="1"/>
  <c r="I1030" i="1"/>
  <c r="A1162" i="1"/>
  <c r="B1162" i="1"/>
  <c r="E1162" i="1"/>
  <c r="H1162" i="1"/>
  <c r="I1162" i="1"/>
  <c r="A1324" i="1"/>
  <c r="B1324" i="1"/>
  <c r="E1324" i="1"/>
  <c r="H1324" i="1"/>
  <c r="I1324" i="1"/>
  <c r="A1441" i="1"/>
  <c r="B1441" i="1"/>
  <c r="E1441" i="1"/>
  <c r="H1441" i="1"/>
  <c r="I1441" i="1"/>
  <c r="A704" i="1"/>
  <c r="B704" i="1"/>
  <c r="E704" i="1"/>
  <c r="H704" i="1"/>
  <c r="I704" i="1"/>
  <c r="A1082" i="1"/>
  <c r="B1082" i="1"/>
  <c r="E1082" i="1"/>
  <c r="H1082" i="1"/>
  <c r="I1082" i="1"/>
  <c r="A1122" i="1"/>
  <c r="B1122" i="1"/>
  <c r="E1122" i="1"/>
  <c r="H1122" i="1"/>
  <c r="I1122" i="1"/>
  <c r="A1110" i="1"/>
  <c r="B1110" i="1"/>
  <c r="E1110" i="1"/>
  <c r="H1110" i="1"/>
  <c r="I1110" i="1"/>
  <c r="A1031" i="1"/>
  <c r="B1031" i="1"/>
  <c r="E1031" i="1"/>
  <c r="H1031" i="1"/>
  <c r="I1031" i="1"/>
  <c r="A2124" i="1"/>
  <c r="B2124" i="1"/>
  <c r="E2124" i="1"/>
  <c r="H2124" i="1"/>
  <c r="I2124" i="1"/>
  <c r="A2144" i="1"/>
  <c r="B2144" i="1"/>
  <c r="E2144" i="1"/>
  <c r="H2144" i="1"/>
  <c r="I2144" i="1"/>
  <c r="A2194" i="1"/>
  <c r="B2194" i="1"/>
  <c r="E2194" i="1"/>
  <c r="H2194" i="1"/>
  <c r="I2194" i="1"/>
  <c r="A2175" i="1"/>
  <c r="B2175" i="1"/>
  <c r="E2175" i="1"/>
  <c r="H2175" i="1"/>
  <c r="I2175" i="1"/>
  <c r="A2157" i="1"/>
  <c r="B2157" i="1"/>
  <c r="E2157" i="1"/>
  <c r="H2157" i="1"/>
  <c r="I2157" i="1"/>
  <c r="A1689" i="1"/>
  <c r="B1689" i="1"/>
  <c r="E1689" i="1"/>
  <c r="H1689" i="1"/>
  <c r="I1689" i="1"/>
  <c r="A2316" i="1"/>
  <c r="B2316" i="1"/>
  <c r="E2316" i="1"/>
  <c r="H2316" i="1"/>
  <c r="I2316" i="1"/>
  <c r="A3028" i="1"/>
  <c r="B3028" i="1"/>
  <c r="E3028" i="1"/>
  <c r="H3028" i="1"/>
  <c r="I3028" i="1"/>
  <c r="A3039" i="1"/>
  <c r="B3039" i="1"/>
  <c r="E3039" i="1"/>
  <c r="H3039" i="1"/>
  <c r="I3039" i="1"/>
  <c r="A3026" i="1"/>
  <c r="B3026" i="1"/>
  <c r="E3026" i="1"/>
  <c r="H3026" i="1"/>
  <c r="I3026" i="1"/>
  <c r="A3089" i="1"/>
  <c r="B3089" i="1"/>
  <c r="E3089" i="1"/>
  <c r="H3089" i="1"/>
  <c r="I3089" i="1"/>
  <c r="A3315" i="1"/>
  <c r="B3315" i="1"/>
  <c r="E3315" i="1"/>
  <c r="H3315" i="1"/>
  <c r="I3315" i="1"/>
  <c r="A3319" i="1"/>
  <c r="B3319" i="1"/>
  <c r="E3319" i="1"/>
  <c r="H3319" i="1"/>
  <c r="I3319" i="1"/>
  <c r="A3425" i="1"/>
  <c r="B3425" i="1"/>
  <c r="E3425" i="1"/>
  <c r="H3425" i="1"/>
  <c r="I3425" i="1"/>
  <c r="A1805" i="1"/>
  <c r="B1805" i="1"/>
  <c r="E1805" i="1"/>
  <c r="H1805" i="1"/>
  <c r="I1805" i="1"/>
  <c r="A1807" i="1"/>
  <c r="B1807" i="1"/>
  <c r="E1807" i="1"/>
  <c r="H1807" i="1"/>
  <c r="I1807" i="1"/>
  <c r="A1792" i="1"/>
  <c r="B1792" i="1"/>
  <c r="E1792" i="1"/>
  <c r="H1792" i="1"/>
  <c r="I1792" i="1"/>
  <c r="A1747" i="1"/>
  <c r="B1747" i="1"/>
  <c r="E1747" i="1"/>
  <c r="H1747" i="1"/>
  <c r="I1747" i="1"/>
  <c r="A1823" i="1"/>
  <c r="B1823" i="1"/>
  <c r="E1823" i="1"/>
  <c r="H1823" i="1"/>
  <c r="I1823" i="1"/>
  <c r="A1859" i="1"/>
  <c r="B1859" i="1"/>
  <c r="E1859" i="1"/>
  <c r="H1859" i="1"/>
  <c r="I1859" i="1"/>
  <c r="A1892" i="1"/>
  <c r="B1892" i="1"/>
  <c r="E1892" i="1"/>
  <c r="H1892" i="1"/>
  <c r="I1892" i="1"/>
  <c r="A1912" i="1"/>
  <c r="B1912" i="1"/>
  <c r="E1912" i="1"/>
  <c r="H1912" i="1"/>
  <c r="I1912" i="1"/>
  <c r="A1950" i="1"/>
  <c r="B1950" i="1"/>
  <c r="E1950" i="1"/>
  <c r="H1950" i="1"/>
  <c r="I1950" i="1"/>
  <c r="A2099" i="1"/>
  <c r="B2099" i="1"/>
  <c r="E2099" i="1"/>
  <c r="H2099" i="1"/>
  <c r="I2099" i="1"/>
  <c r="A2231" i="1"/>
  <c r="B2231" i="1"/>
  <c r="E2231" i="1"/>
  <c r="H2231" i="1"/>
  <c r="I2231" i="1"/>
  <c r="A1924" i="1"/>
  <c r="B1924" i="1"/>
  <c r="E1924" i="1"/>
  <c r="H1924" i="1"/>
  <c r="I1924" i="1"/>
  <c r="A1930" i="1"/>
  <c r="B1930" i="1"/>
  <c r="E1930" i="1"/>
  <c r="H1930" i="1"/>
  <c r="I1930" i="1"/>
  <c r="A3588" i="1"/>
  <c r="B3588" i="1"/>
  <c r="E3588" i="1"/>
  <c r="H3588" i="1"/>
  <c r="I3588" i="1"/>
  <c r="A3589" i="1"/>
  <c r="B3589" i="1"/>
  <c r="E3589" i="1"/>
  <c r="H3589" i="1"/>
  <c r="I3589" i="1"/>
  <c r="A3584" i="1"/>
  <c r="B3584" i="1"/>
  <c r="E3584" i="1"/>
  <c r="H3584" i="1"/>
  <c r="I3584" i="1"/>
  <c r="A528" i="1"/>
  <c r="B528" i="1"/>
  <c r="E528" i="1"/>
  <c r="H528" i="1"/>
  <c r="I528" i="1"/>
  <c r="A1853" i="1"/>
  <c r="B1853" i="1"/>
  <c r="E1853" i="1"/>
  <c r="H1853" i="1"/>
  <c r="I1853" i="1"/>
  <c r="A3585" i="1"/>
  <c r="B3585" i="1"/>
  <c r="E3585" i="1"/>
  <c r="H3585" i="1"/>
  <c r="I3585" i="1"/>
  <c r="A3586" i="1"/>
  <c r="B3586" i="1"/>
  <c r="E3586" i="1"/>
  <c r="H3586" i="1"/>
  <c r="I3586" i="1"/>
  <c r="A3587" i="1"/>
  <c r="B3587" i="1"/>
  <c r="E3587" i="1"/>
  <c r="H3587" i="1"/>
  <c r="I3587" i="1"/>
  <c r="A3582" i="1"/>
  <c r="B3582" i="1"/>
  <c r="E3582" i="1"/>
  <c r="H3582" i="1"/>
  <c r="I3582" i="1"/>
  <c r="A3583" i="1"/>
  <c r="B3583" i="1"/>
  <c r="E3583" i="1"/>
  <c r="H3583" i="1"/>
  <c r="I3583" i="1"/>
  <c r="A1275" i="1"/>
  <c r="B1275" i="1"/>
  <c r="E1275" i="1"/>
  <c r="H1275" i="1"/>
  <c r="I1275" i="1"/>
  <c r="A1276" i="1"/>
  <c r="B1276" i="1"/>
  <c r="E1276" i="1"/>
  <c r="H1276" i="1"/>
  <c r="I1276" i="1"/>
  <c r="A1273" i="1"/>
  <c r="B1273" i="1"/>
  <c r="E1273" i="1"/>
  <c r="H1273" i="1"/>
  <c r="I1273" i="1"/>
  <c r="A1274" i="1"/>
  <c r="B1274" i="1"/>
  <c r="E1274" i="1"/>
  <c r="H1274" i="1"/>
  <c r="I1274" i="1"/>
  <c r="A1271" i="1"/>
  <c r="B1271" i="1"/>
  <c r="E1271" i="1"/>
  <c r="H1271" i="1"/>
  <c r="I1271" i="1"/>
  <c r="A1272" i="1"/>
  <c r="B1272" i="1"/>
  <c r="E1272" i="1"/>
  <c r="H1272" i="1"/>
  <c r="I1272" i="1"/>
  <c r="A1279" i="1"/>
  <c r="B1279" i="1"/>
  <c r="E1279" i="1"/>
  <c r="H1279" i="1"/>
  <c r="I1279" i="1"/>
  <c r="A1280" i="1"/>
  <c r="B1280" i="1"/>
  <c r="E1280" i="1"/>
  <c r="H1280" i="1"/>
  <c r="I1280" i="1"/>
  <c r="A1277" i="1"/>
  <c r="B1277" i="1"/>
  <c r="E1277" i="1"/>
  <c r="H1277" i="1"/>
  <c r="I1277" i="1"/>
  <c r="A1278" i="1"/>
  <c r="B1278" i="1"/>
  <c r="E1278" i="1"/>
  <c r="H1278" i="1"/>
  <c r="I1278" i="1"/>
  <c r="A1269" i="1"/>
  <c r="B1269" i="1"/>
  <c r="E1269" i="1"/>
  <c r="H1269" i="1"/>
  <c r="I1269" i="1"/>
  <c r="A1270" i="1"/>
  <c r="B1270" i="1"/>
  <c r="E1270" i="1"/>
  <c r="H1270" i="1"/>
  <c r="I1270" i="1"/>
  <c r="A140" i="1"/>
  <c r="B140" i="1"/>
  <c r="E140" i="1"/>
  <c r="H140" i="1"/>
  <c r="I140" i="1"/>
  <c r="A1515" i="1"/>
  <c r="B1515" i="1"/>
  <c r="E1515" i="1"/>
  <c r="H1515" i="1"/>
  <c r="I1515" i="1"/>
  <c r="A154" i="1"/>
  <c r="B154" i="1"/>
  <c r="E154" i="1"/>
  <c r="H154" i="1"/>
  <c r="I154" i="1"/>
  <c r="A143" i="1"/>
  <c r="B143" i="1"/>
  <c r="E143" i="1"/>
  <c r="H143" i="1"/>
  <c r="I143" i="1"/>
  <c r="A144" i="1"/>
  <c r="B144" i="1"/>
  <c r="E144" i="1"/>
  <c r="H144" i="1"/>
  <c r="I144" i="1"/>
  <c r="A145" i="1"/>
  <c r="B145" i="1"/>
  <c r="E145" i="1"/>
  <c r="H145" i="1"/>
  <c r="I145" i="1"/>
  <c r="A150" i="1"/>
  <c r="B150" i="1"/>
  <c r="E150" i="1"/>
  <c r="H150" i="1"/>
  <c r="I150" i="1"/>
  <c r="A151" i="1"/>
  <c r="B151" i="1"/>
  <c r="E151" i="1"/>
  <c r="H151" i="1"/>
  <c r="I151" i="1"/>
  <c r="A146" i="1"/>
  <c r="B146" i="1"/>
  <c r="E146" i="1"/>
  <c r="H146" i="1"/>
  <c r="I146" i="1"/>
  <c r="A147" i="1"/>
  <c r="B147" i="1"/>
  <c r="E147" i="1"/>
  <c r="H147" i="1"/>
  <c r="I147" i="1"/>
  <c r="A148" i="1"/>
  <c r="B148" i="1"/>
  <c r="E148" i="1"/>
  <c r="H148" i="1"/>
  <c r="I148" i="1"/>
  <c r="A149" i="1"/>
  <c r="B149" i="1"/>
  <c r="E149" i="1"/>
  <c r="H149" i="1"/>
  <c r="I149" i="1"/>
  <c r="A155" i="1"/>
  <c r="B155" i="1"/>
  <c r="E155" i="1"/>
  <c r="H155" i="1"/>
  <c r="I155" i="1"/>
  <c r="A156" i="1"/>
  <c r="B156" i="1"/>
  <c r="E156" i="1"/>
  <c r="H156" i="1"/>
  <c r="I156" i="1"/>
  <c r="A152" i="1"/>
  <c r="B152" i="1"/>
  <c r="E152" i="1"/>
  <c r="H152" i="1"/>
  <c r="I152" i="1"/>
  <c r="A141" i="1"/>
  <c r="B141" i="1"/>
  <c r="E141" i="1"/>
  <c r="H141" i="1"/>
  <c r="I141" i="1"/>
  <c r="A153" i="1"/>
  <c r="B153" i="1"/>
  <c r="E153" i="1"/>
  <c r="H153" i="1"/>
  <c r="I153" i="1"/>
  <c r="A142" i="1"/>
  <c r="B142" i="1"/>
  <c r="E142" i="1"/>
  <c r="H142" i="1"/>
  <c r="I142" i="1"/>
  <c r="A157" i="1"/>
  <c r="B157" i="1"/>
  <c r="E157" i="1"/>
  <c r="H157" i="1"/>
  <c r="I157" i="1"/>
  <c r="A158" i="1"/>
  <c r="B158" i="1"/>
  <c r="E158" i="1"/>
  <c r="H158" i="1"/>
  <c r="I158" i="1"/>
  <c r="A3596" i="1"/>
  <c r="B3596" i="1"/>
  <c r="E3596" i="1"/>
  <c r="H3596" i="1"/>
  <c r="I3596" i="1"/>
  <c r="A117" i="1"/>
  <c r="B117" i="1"/>
  <c r="E117" i="1"/>
  <c r="H117" i="1"/>
  <c r="I117" i="1"/>
  <c r="A116" i="1"/>
  <c r="B116" i="1"/>
  <c r="E116" i="1"/>
  <c r="H116" i="1"/>
  <c r="I116" i="1"/>
  <c r="A109" i="1"/>
  <c r="B109" i="1"/>
  <c r="E109" i="1"/>
  <c r="H109" i="1"/>
  <c r="I109" i="1"/>
  <c r="A131" i="1"/>
  <c r="B131" i="1"/>
  <c r="E131" i="1"/>
  <c r="H131" i="1"/>
  <c r="I131" i="1"/>
  <c r="A123" i="1"/>
  <c r="B123" i="1"/>
  <c r="E123" i="1"/>
  <c r="H123" i="1"/>
  <c r="I123" i="1"/>
  <c r="A121" i="1"/>
  <c r="B121" i="1"/>
  <c r="E121" i="1"/>
  <c r="H121" i="1"/>
  <c r="I121" i="1"/>
  <c r="A129" i="1"/>
  <c r="B129" i="1"/>
  <c r="E129" i="1"/>
  <c r="H129" i="1"/>
  <c r="I129" i="1"/>
  <c r="A126" i="1"/>
  <c r="B126" i="1"/>
  <c r="E126" i="1"/>
  <c r="H126" i="1"/>
  <c r="I126" i="1"/>
  <c r="A127" i="1"/>
  <c r="B127" i="1"/>
  <c r="E127" i="1"/>
  <c r="H127" i="1"/>
  <c r="I127" i="1"/>
  <c r="A133" i="1"/>
  <c r="B133" i="1"/>
  <c r="E133" i="1"/>
  <c r="H133" i="1"/>
  <c r="I133" i="1"/>
  <c r="A138" i="1"/>
  <c r="B138" i="1"/>
  <c r="E138" i="1"/>
  <c r="H138" i="1"/>
  <c r="I138" i="1"/>
  <c r="A135" i="1"/>
  <c r="B135" i="1"/>
  <c r="E135" i="1"/>
  <c r="H135" i="1"/>
  <c r="I135" i="1"/>
  <c r="A134" i="1"/>
  <c r="B134" i="1"/>
  <c r="E134" i="1"/>
  <c r="H134" i="1"/>
  <c r="I134" i="1"/>
  <c r="A136" i="1"/>
  <c r="B136" i="1"/>
  <c r="E136" i="1"/>
  <c r="H136" i="1"/>
  <c r="I136" i="1"/>
  <c r="A137" i="1"/>
  <c r="B137" i="1"/>
  <c r="E137" i="1"/>
  <c r="H137" i="1"/>
  <c r="I137" i="1"/>
  <c r="A139" i="1"/>
  <c r="B139" i="1"/>
  <c r="E139" i="1"/>
  <c r="H139" i="1"/>
  <c r="I139" i="1"/>
  <c r="A161" i="1"/>
  <c r="B161" i="1"/>
  <c r="E161" i="1"/>
  <c r="H161" i="1"/>
  <c r="I161" i="1"/>
  <c r="A163" i="1"/>
  <c r="B163" i="1"/>
  <c r="E163" i="1"/>
  <c r="H163" i="1"/>
  <c r="I163" i="1"/>
  <c r="A173" i="1"/>
  <c r="B173" i="1"/>
  <c r="E173" i="1"/>
  <c r="H173" i="1"/>
  <c r="I173" i="1"/>
  <c r="A159" i="1"/>
  <c r="B159" i="1"/>
  <c r="E159" i="1"/>
  <c r="H159" i="1"/>
  <c r="I159" i="1"/>
  <c r="A165" i="1"/>
  <c r="B165" i="1"/>
  <c r="E165" i="1"/>
  <c r="H165" i="1"/>
  <c r="I165" i="1"/>
  <c r="A168" i="1"/>
  <c r="B168" i="1"/>
  <c r="E168" i="1"/>
  <c r="H168" i="1"/>
  <c r="I168" i="1"/>
  <c r="A170" i="1"/>
  <c r="B170" i="1"/>
  <c r="E170" i="1"/>
  <c r="H170" i="1"/>
  <c r="I170" i="1"/>
  <c r="A174" i="1"/>
  <c r="B174" i="1"/>
  <c r="E174" i="1"/>
  <c r="H174" i="1"/>
  <c r="I174" i="1"/>
  <c r="A166" i="1"/>
  <c r="B166" i="1"/>
  <c r="E166" i="1"/>
  <c r="H166" i="1"/>
  <c r="I166" i="1"/>
  <c r="A171" i="1"/>
  <c r="B171" i="1"/>
  <c r="E171" i="1"/>
  <c r="H171" i="1"/>
  <c r="I171" i="1"/>
  <c r="A195" i="1"/>
  <c r="B195" i="1"/>
  <c r="E195" i="1"/>
  <c r="H195" i="1"/>
  <c r="I195" i="1"/>
  <c r="A205" i="1"/>
  <c r="B205" i="1"/>
  <c r="E205" i="1"/>
  <c r="H205" i="1"/>
  <c r="I205" i="1"/>
  <c r="A199" i="1"/>
  <c r="B199" i="1"/>
  <c r="E199" i="1"/>
  <c r="H199" i="1"/>
  <c r="I199" i="1"/>
  <c r="A197" i="1"/>
  <c r="B197" i="1"/>
  <c r="E197" i="1"/>
  <c r="H197" i="1"/>
  <c r="I197" i="1"/>
  <c r="A201" i="1"/>
  <c r="B201" i="1"/>
  <c r="E201" i="1"/>
  <c r="H201" i="1"/>
  <c r="I201" i="1"/>
  <c r="A191" i="1"/>
  <c r="B191" i="1"/>
  <c r="E191" i="1"/>
  <c r="H191" i="1"/>
  <c r="I191" i="1"/>
  <c r="A203" i="1"/>
  <c r="B203" i="1"/>
  <c r="E203" i="1"/>
  <c r="H203" i="1"/>
  <c r="I203" i="1"/>
  <c r="A193" i="1"/>
  <c r="B193" i="1"/>
  <c r="E193" i="1"/>
  <c r="H193" i="1"/>
  <c r="I193" i="1"/>
  <c r="A272" i="1"/>
  <c r="B272" i="1"/>
  <c r="E272" i="1"/>
  <c r="H272" i="1"/>
  <c r="I272" i="1"/>
  <c r="A268" i="1"/>
  <c r="B268" i="1"/>
  <c r="E268" i="1"/>
  <c r="H268" i="1"/>
  <c r="I268" i="1"/>
  <c r="A257" i="1"/>
  <c r="B257" i="1"/>
  <c r="E257" i="1"/>
  <c r="H257" i="1"/>
  <c r="I257" i="1"/>
  <c r="A265" i="1"/>
  <c r="B265" i="1"/>
  <c r="E265" i="1"/>
  <c r="H265" i="1"/>
  <c r="I265" i="1"/>
  <c r="A263" i="1"/>
  <c r="B263" i="1"/>
  <c r="E263" i="1"/>
  <c r="H263" i="1"/>
  <c r="I263" i="1"/>
  <c r="A274" i="1"/>
  <c r="B274" i="1"/>
  <c r="E274" i="1"/>
  <c r="H274" i="1"/>
  <c r="I274" i="1"/>
  <c r="A261" i="1"/>
  <c r="B261" i="1"/>
  <c r="E261" i="1"/>
  <c r="H261" i="1"/>
  <c r="I261" i="1"/>
  <c r="A259" i="1"/>
  <c r="B259" i="1"/>
  <c r="E259" i="1"/>
  <c r="H259" i="1"/>
  <c r="I259" i="1"/>
  <c r="A255" i="1"/>
  <c r="B255" i="1"/>
  <c r="E255" i="1"/>
  <c r="H255" i="1"/>
  <c r="I255" i="1"/>
  <c r="A270" i="1"/>
  <c r="B270" i="1"/>
  <c r="E270" i="1"/>
  <c r="H270" i="1"/>
  <c r="I270" i="1"/>
  <c r="A266" i="1"/>
  <c r="B266" i="1"/>
  <c r="E266" i="1"/>
  <c r="H266" i="1"/>
  <c r="I266" i="1"/>
  <c r="A304" i="1"/>
  <c r="B304" i="1"/>
  <c r="E304" i="1"/>
  <c r="H304" i="1"/>
  <c r="I304" i="1"/>
  <c r="A278" i="1"/>
  <c r="B278" i="1"/>
  <c r="E278" i="1"/>
  <c r="H278" i="1"/>
  <c r="I278" i="1"/>
  <c r="A360" i="1"/>
  <c r="B360" i="1"/>
  <c r="E360" i="1"/>
  <c r="H360" i="1"/>
  <c r="I360" i="1"/>
  <c r="A340" i="1"/>
  <c r="B340" i="1"/>
  <c r="E340" i="1"/>
  <c r="H340" i="1"/>
  <c r="I340" i="1"/>
  <c r="A345" i="1"/>
  <c r="B345" i="1"/>
  <c r="E345" i="1"/>
  <c r="H345" i="1"/>
  <c r="I345" i="1"/>
  <c r="A347" i="1"/>
  <c r="B347" i="1"/>
  <c r="E347" i="1"/>
  <c r="H347" i="1"/>
  <c r="I347" i="1"/>
  <c r="A328" i="1"/>
  <c r="B328" i="1"/>
  <c r="E328" i="1"/>
  <c r="H328" i="1"/>
  <c r="I328" i="1"/>
  <c r="A314" i="1"/>
  <c r="B314" i="1"/>
  <c r="E314" i="1"/>
  <c r="H314" i="1"/>
  <c r="I314" i="1"/>
  <c r="A546" i="1"/>
  <c r="B546" i="1"/>
  <c r="E546" i="1"/>
  <c r="H546" i="1"/>
  <c r="I546" i="1"/>
  <c r="A532" i="1"/>
  <c r="B532" i="1"/>
  <c r="E532" i="1"/>
  <c r="H532" i="1"/>
  <c r="I532" i="1"/>
  <c r="A529" i="1"/>
  <c r="B529" i="1"/>
  <c r="E529" i="1"/>
  <c r="H529" i="1"/>
  <c r="I529" i="1"/>
  <c r="A551" i="1"/>
  <c r="B551" i="1"/>
  <c r="E551" i="1"/>
  <c r="H551" i="1"/>
  <c r="I551" i="1"/>
  <c r="A534" i="1"/>
  <c r="B534" i="1"/>
  <c r="E534" i="1"/>
  <c r="H534" i="1"/>
  <c r="I534" i="1"/>
  <c r="A549" i="1"/>
  <c r="B549" i="1"/>
  <c r="E549" i="1"/>
  <c r="H549" i="1"/>
  <c r="I549" i="1"/>
  <c r="A553" i="1"/>
  <c r="B553" i="1"/>
  <c r="E553" i="1"/>
  <c r="H553" i="1"/>
  <c r="I553" i="1"/>
  <c r="A538" i="1"/>
  <c r="B538" i="1"/>
  <c r="E538" i="1"/>
  <c r="H538" i="1"/>
  <c r="I538" i="1"/>
  <c r="A540" i="1"/>
  <c r="B540" i="1"/>
  <c r="E540" i="1"/>
  <c r="H540" i="1"/>
  <c r="I540" i="1"/>
  <c r="A535" i="1"/>
  <c r="B535" i="1"/>
  <c r="E535" i="1"/>
  <c r="H535" i="1"/>
  <c r="I535" i="1"/>
  <c r="A544" i="1"/>
  <c r="B544" i="1"/>
  <c r="E544" i="1"/>
  <c r="H544" i="1"/>
  <c r="I544" i="1"/>
  <c r="A542" i="1"/>
  <c r="B542" i="1"/>
  <c r="E542" i="1"/>
  <c r="H542" i="1"/>
  <c r="I542" i="1"/>
  <c r="A537" i="1"/>
  <c r="B537" i="1"/>
  <c r="E537" i="1"/>
  <c r="H537" i="1"/>
  <c r="I537" i="1"/>
  <c r="A548" i="1"/>
  <c r="B548" i="1"/>
  <c r="E548" i="1"/>
  <c r="H548" i="1"/>
  <c r="I548" i="1"/>
  <c r="A618" i="1"/>
  <c r="B618" i="1"/>
  <c r="E618" i="1"/>
  <c r="H618" i="1"/>
  <c r="I618" i="1"/>
  <c r="A601" i="1"/>
  <c r="B601" i="1"/>
  <c r="E601" i="1"/>
  <c r="H601" i="1"/>
  <c r="I601" i="1"/>
  <c r="A594" i="1"/>
  <c r="B594" i="1"/>
  <c r="E594" i="1"/>
  <c r="H594" i="1"/>
  <c r="I594" i="1"/>
  <c r="A610" i="1"/>
  <c r="B610" i="1"/>
  <c r="E610" i="1"/>
  <c r="H610" i="1"/>
  <c r="I610" i="1"/>
  <c r="A603" i="1"/>
  <c r="B603" i="1"/>
  <c r="E603" i="1"/>
  <c r="H603" i="1"/>
  <c r="I603" i="1"/>
  <c r="A622" i="1"/>
  <c r="B622" i="1"/>
  <c r="E622" i="1"/>
  <c r="H622" i="1"/>
  <c r="I622" i="1"/>
  <c r="A591" i="1"/>
  <c r="B591" i="1"/>
  <c r="E591" i="1"/>
  <c r="H591" i="1"/>
  <c r="I591" i="1"/>
  <c r="A596" i="1"/>
  <c r="B596" i="1"/>
  <c r="E596" i="1"/>
  <c r="H596" i="1"/>
  <c r="I596" i="1"/>
  <c r="A607" i="1"/>
  <c r="B607" i="1"/>
  <c r="E607" i="1"/>
  <c r="H607" i="1"/>
  <c r="I607" i="1"/>
  <c r="A587" i="1"/>
  <c r="B587" i="1"/>
  <c r="E587" i="1"/>
  <c r="H587" i="1"/>
  <c r="I587" i="1"/>
  <c r="A614" i="1"/>
  <c r="B614" i="1"/>
  <c r="E614" i="1"/>
  <c r="H614" i="1"/>
  <c r="I614" i="1"/>
  <c r="A597" i="1"/>
  <c r="B597" i="1"/>
  <c r="E597" i="1"/>
  <c r="H597" i="1"/>
  <c r="I597" i="1"/>
  <c r="A615" i="1"/>
  <c r="B615" i="1"/>
  <c r="E615" i="1"/>
  <c r="H615" i="1"/>
  <c r="I615" i="1"/>
  <c r="A589" i="1"/>
  <c r="B589" i="1"/>
  <c r="E589" i="1"/>
  <c r="H589" i="1"/>
  <c r="I589" i="1"/>
  <c r="A608" i="1"/>
  <c r="B608" i="1"/>
  <c r="E608" i="1"/>
  <c r="H608" i="1"/>
  <c r="I608" i="1"/>
  <c r="A598" i="1"/>
  <c r="B598" i="1"/>
  <c r="E598" i="1"/>
  <c r="H598" i="1"/>
  <c r="I598" i="1"/>
  <c r="A612" i="1"/>
  <c r="B612" i="1"/>
  <c r="E612" i="1"/>
  <c r="H612" i="1"/>
  <c r="I612" i="1"/>
  <c r="A586" i="1"/>
  <c r="B586" i="1"/>
  <c r="E586" i="1"/>
  <c r="H586" i="1"/>
  <c r="I586" i="1"/>
  <c r="A592" i="1"/>
  <c r="B592" i="1"/>
  <c r="E592" i="1"/>
  <c r="H592" i="1"/>
  <c r="I592" i="1"/>
  <c r="A624" i="1"/>
  <c r="B624" i="1"/>
  <c r="E624" i="1"/>
  <c r="H624" i="1"/>
  <c r="I624" i="1"/>
  <c r="A626" i="1"/>
  <c r="B626" i="1"/>
  <c r="E626" i="1"/>
  <c r="H626" i="1"/>
  <c r="I626" i="1"/>
  <c r="A605" i="1"/>
  <c r="B605" i="1"/>
  <c r="E605" i="1"/>
  <c r="H605" i="1"/>
  <c r="I605" i="1"/>
  <c r="A635" i="1"/>
  <c r="B635" i="1"/>
  <c r="E635" i="1"/>
  <c r="H635" i="1"/>
  <c r="I635" i="1"/>
  <c r="A633" i="1"/>
  <c r="B633" i="1"/>
  <c r="E633" i="1"/>
  <c r="H633" i="1"/>
  <c r="I633" i="1"/>
  <c r="A631" i="1"/>
  <c r="B631" i="1"/>
  <c r="E631" i="1"/>
  <c r="H631" i="1"/>
  <c r="I631" i="1"/>
  <c r="A629" i="1"/>
  <c r="B629" i="1"/>
  <c r="E629" i="1"/>
  <c r="H629" i="1"/>
  <c r="I629" i="1"/>
  <c r="A670" i="1"/>
  <c r="B670" i="1"/>
  <c r="E670" i="1"/>
  <c r="H670" i="1"/>
  <c r="I670" i="1"/>
  <c r="A679" i="1"/>
  <c r="B679" i="1"/>
  <c r="E679" i="1"/>
  <c r="H679" i="1"/>
  <c r="I679" i="1"/>
  <c r="A684" i="1"/>
  <c r="B684" i="1"/>
  <c r="E684" i="1"/>
  <c r="H684" i="1"/>
  <c r="I684" i="1"/>
  <c r="A686" i="1"/>
  <c r="B686" i="1"/>
  <c r="E686" i="1"/>
  <c r="H686" i="1"/>
  <c r="I686" i="1"/>
  <c r="A672" i="1"/>
  <c r="B672" i="1"/>
  <c r="E672" i="1"/>
  <c r="H672" i="1"/>
  <c r="I672" i="1"/>
  <c r="A694" i="1"/>
  <c r="B694" i="1"/>
  <c r="E694" i="1"/>
  <c r="H694" i="1"/>
  <c r="I694" i="1"/>
  <c r="A695" i="1"/>
  <c r="B695" i="1"/>
  <c r="E695" i="1"/>
  <c r="H695" i="1"/>
  <c r="I695" i="1"/>
  <c r="A683" i="1"/>
  <c r="B683" i="1"/>
  <c r="E683" i="1"/>
  <c r="H683" i="1"/>
  <c r="I683" i="1"/>
  <c r="A698" i="1"/>
  <c r="B698" i="1"/>
  <c r="E698" i="1"/>
  <c r="H698" i="1"/>
  <c r="I698" i="1"/>
  <c r="A677" i="1"/>
  <c r="B677" i="1"/>
  <c r="E677" i="1"/>
  <c r="H677" i="1"/>
  <c r="I677" i="1"/>
  <c r="A690" i="1"/>
  <c r="B690" i="1"/>
  <c r="E690" i="1"/>
  <c r="H690" i="1"/>
  <c r="I690" i="1"/>
  <c r="A697" i="1"/>
  <c r="B697" i="1"/>
  <c r="E697" i="1"/>
  <c r="H697" i="1"/>
  <c r="I697" i="1"/>
  <c r="A681" i="1"/>
  <c r="B681" i="1"/>
  <c r="E681" i="1"/>
  <c r="H681" i="1"/>
  <c r="I681" i="1"/>
  <c r="A688" i="1"/>
  <c r="B688" i="1"/>
  <c r="E688" i="1"/>
  <c r="H688" i="1"/>
  <c r="I688" i="1"/>
  <c r="A692" i="1"/>
  <c r="B692" i="1"/>
  <c r="E692" i="1"/>
  <c r="H692" i="1"/>
  <c r="I692" i="1"/>
  <c r="A733" i="1"/>
  <c r="B733" i="1"/>
  <c r="E733" i="1"/>
  <c r="H733" i="1"/>
  <c r="I733" i="1"/>
  <c r="A711" i="1"/>
  <c r="B711" i="1"/>
  <c r="E711" i="1"/>
  <c r="H711" i="1"/>
  <c r="I711" i="1"/>
  <c r="A705" i="1"/>
  <c r="B705" i="1"/>
  <c r="E705" i="1"/>
  <c r="H705" i="1"/>
  <c r="I705" i="1"/>
  <c r="A708" i="1"/>
  <c r="B708" i="1"/>
  <c r="E708" i="1"/>
  <c r="H708" i="1"/>
  <c r="I708" i="1"/>
  <c r="A712" i="1"/>
  <c r="B712" i="1"/>
  <c r="E712" i="1"/>
  <c r="H712" i="1"/>
  <c r="I712" i="1"/>
  <c r="A706" i="1"/>
  <c r="B706" i="1"/>
  <c r="E706" i="1"/>
  <c r="H706" i="1"/>
  <c r="I706" i="1"/>
  <c r="A717" i="1"/>
  <c r="B717" i="1"/>
  <c r="E717" i="1"/>
  <c r="H717" i="1"/>
  <c r="I717" i="1"/>
  <c r="A715" i="1"/>
  <c r="B715" i="1"/>
  <c r="E715" i="1"/>
  <c r="H715" i="1"/>
  <c r="I715" i="1"/>
  <c r="A725" i="1"/>
  <c r="B725" i="1"/>
  <c r="E725" i="1"/>
  <c r="H725" i="1"/>
  <c r="I725" i="1"/>
  <c r="A729" i="1"/>
  <c r="B729" i="1"/>
  <c r="E729" i="1"/>
  <c r="H729" i="1"/>
  <c r="I729" i="1"/>
  <c r="A727" i="1"/>
  <c r="B727" i="1"/>
  <c r="E727" i="1"/>
  <c r="H727" i="1"/>
  <c r="I727" i="1"/>
  <c r="A721" i="1"/>
  <c r="B721" i="1"/>
  <c r="E721" i="1"/>
  <c r="H721" i="1"/>
  <c r="I721" i="1"/>
  <c r="A718" i="1"/>
  <c r="B718" i="1"/>
  <c r="E718" i="1"/>
  <c r="H718" i="1"/>
  <c r="I718" i="1"/>
  <c r="A719" i="1"/>
  <c r="B719" i="1"/>
  <c r="E719" i="1"/>
  <c r="H719" i="1"/>
  <c r="I719" i="1"/>
  <c r="A723" i="1"/>
  <c r="B723" i="1"/>
  <c r="E723" i="1"/>
  <c r="H723" i="1"/>
  <c r="I723" i="1"/>
  <c r="A739" i="1"/>
  <c r="B739" i="1"/>
  <c r="E739" i="1"/>
  <c r="H739" i="1"/>
  <c r="I739" i="1"/>
  <c r="A735" i="1"/>
  <c r="B735" i="1"/>
  <c r="E735" i="1"/>
  <c r="H735" i="1"/>
  <c r="I735" i="1"/>
  <c r="A776" i="1"/>
  <c r="B776" i="1"/>
  <c r="E776" i="1"/>
  <c r="H776" i="1"/>
  <c r="I776" i="1"/>
  <c r="A789" i="1"/>
  <c r="B789" i="1"/>
  <c r="E789" i="1"/>
  <c r="H789" i="1"/>
  <c r="I789" i="1"/>
  <c r="A741" i="1"/>
  <c r="B741" i="1"/>
  <c r="E741" i="1"/>
  <c r="H741" i="1"/>
  <c r="I741" i="1"/>
  <c r="A749" i="1"/>
  <c r="B749" i="1"/>
  <c r="E749" i="1"/>
  <c r="H749" i="1"/>
  <c r="I749" i="1"/>
  <c r="A737" i="1"/>
  <c r="B737" i="1"/>
  <c r="E737" i="1"/>
  <c r="H737" i="1"/>
  <c r="I737" i="1"/>
  <c r="A751" i="1"/>
  <c r="B751" i="1"/>
  <c r="E751" i="1"/>
  <c r="H751" i="1"/>
  <c r="I751" i="1"/>
  <c r="A754" i="1"/>
  <c r="B754" i="1"/>
  <c r="E754" i="1"/>
  <c r="H754" i="1"/>
  <c r="I754" i="1"/>
  <c r="A752" i="1"/>
  <c r="B752" i="1"/>
  <c r="E752" i="1"/>
  <c r="H752" i="1"/>
  <c r="I752" i="1"/>
  <c r="A747" i="1"/>
  <c r="B747" i="1"/>
  <c r="E747" i="1"/>
  <c r="H747" i="1"/>
  <c r="I747" i="1"/>
  <c r="A757" i="1"/>
  <c r="B757" i="1"/>
  <c r="E757" i="1"/>
  <c r="H757" i="1"/>
  <c r="I757" i="1"/>
  <c r="A759" i="1"/>
  <c r="B759" i="1"/>
  <c r="E759" i="1"/>
  <c r="H759" i="1"/>
  <c r="I759" i="1"/>
  <c r="A767" i="1"/>
  <c r="B767" i="1"/>
  <c r="E767" i="1"/>
  <c r="H767" i="1"/>
  <c r="I767" i="1"/>
  <c r="A743" i="1"/>
  <c r="B743" i="1"/>
  <c r="E743" i="1"/>
  <c r="H743" i="1"/>
  <c r="I743" i="1"/>
  <c r="A763" i="1"/>
  <c r="B763" i="1"/>
  <c r="E763" i="1"/>
  <c r="H763" i="1"/>
  <c r="I763" i="1"/>
  <c r="A779" i="1"/>
  <c r="B779" i="1"/>
  <c r="E779" i="1"/>
  <c r="H779" i="1"/>
  <c r="I779" i="1"/>
  <c r="A745" i="1"/>
  <c r="B745" i="1"/>
  <c r="E745" i="1"/>
  <c r="H745" i="1"/>
  <c r="I745" i="1"/>
  <c r="A781" i="1"/>
  <c r="B781" i="1"/>
  <c r="E781" i="1"/>
  <c r="H781" i="1"/>
  <c r="I781" i="1"/>
  <c r="A777" i="1"/>
  <c r="B777" i="1"/>
  <c r="E777" i="1"/>
  <c r="H777" i="1"/>
  <c r="I777" i="1"/>
  <c r="A772" i="1"/>
  <c r="B772" i="1"/>
  <c r="E772" i="1"/>
  <c r="H772" i="1"/>
  <c r="I772" i="1"/>
  <c r="A765" i="1"/>
  <c r="B765" i="1"/>
  <c r="E765" i="1"/>
  <c r="H765" i="1"/>
  <c r="I765" i="1"/>
  <c r="A770" i="1"/>
  <c r="B770" i="1"/>
  <c r="E770" i="1"/>
  <c r="H770" i="1"/>
  <c r="I770" i="1"/>
  <c r="A785" i="1"/>
  <c r="B785" i="1"/>
  <c r="E785" i="1"/>
  <c r="H785" i="1"/>
  <c r="I785" i="1"/>
  <c r="A755" i="1"/>
  <c r="B755" i="1"/>
  <c r="E755" i="1"/>
  <c r="H755" i="1"/>
  <c r="I755" i="1"/>
  <c r="A783" i="1"/>
  <c r="B783" i="1"/>
  <c r="E783" i="1"/>
  <c r="H783" i="1"/>
  <c r="I783" i="1"/>
  <c r="A768" i="1"/>
  <c r="B768" i="1"/>
  <c r="E768" i="1"/>
  <c r="H768" i="1"/>
  <c r="I768" i="1"/>
  <c r="A787" i="1"/>
  <c r="B787" i="1"/>
  <c r="E787" i="1"/>
  <c r="H787" i="1"/>
  <c r="I787" i="1"/>
  <c r="A773" i="1"/>
  <c r="B773" i="1"/>
  <c r="E773" i="1"/>
  <c r="H773" i="1"/>
  <c r="I773" i="1"/>
  <c r="A2933" i="1"/>
  <c r="B2933" i="1"/>
  <c r="E2933" i="1"/>
  <c r="H2933" i="1"/>
  <c r="I2933" i="1"/>
  <c r="A2934" i="1"/>
  <c r="B2934" i="1"/>
  <c r="E2934" i="1"/>
  <c r="H2934" i="1"/>
  <c r="I2934" i="1"/>
  <c r="A2959" i="1"/>
  <c r="B2959" i="1"/>
  <c r="E2959" i="1"/>
  <c r="H2959" i="1"/>
  <c r="I2959" i="1"/>
  <c r="A2960" i="1"/>
  <c r="B2960" i="1"/>
  <c r="E2960" i="1"/>
  <c r="H2960" i="1"/>
  <c r="I2960" i="1"/>
  <c r="A2965" i="1"/>
  <c r="B2965" i="1"/>
  <c r="E2965" i="1"/>
  <c r="H2965" i="1"/>
  <c r="I2965" i="1"/>
  <c r="A2125" i="1"/>
  <c r="B2125" i="1"/>
  <c r="E2125" i="1"/>
  <c r="H2125" i="1"/>
  <c r="I2125" i="1"/>
  <c r="A2173" i="1"/>
  <c r="B2173" i="1"/>
  <c r="E2173" i="1"/>
  <c r="H2173" i="1"/>
  <c r="I2173" i="1"/>
  <c r="A2153" i="1"/>
  <c r="B2153" i="1"/>
  <c r="E2153" i="1"/>
  <c r="H2153" i="1"/>
  <c r="I2153" i="1"/>
  <c r="A2167" i="1"/>
  <c r="B2167" i="1"/>
  <c r="E2167" i="1"/>
  <c r="H2167" i="1"/>
  <c r="I2167" i="1"/>
  <c r="A2169" i="1"/>
  <c r="B2169" i="1"/>
  <c r="E2169" i="1"/>
  <c r="H2169" i="1"/>
  <c r="I2169" i="1"/>
  <c r="A2198" i="1"/>
  <c r="B2198" i="1"/>
  <c r="E2198" i="1"/>
  <c r="H2198" i="1"/>
  <c r="I2198" i="1"/>
  <c r="A2113" i="1"/>
  <c r="B2113" i="1"/>
  <c r="E2113" i="1"/>
  <c r="H2113" i="1"/>
  <c r="I2113" i="1"/>
  <c r="A2200" i="1"/>
  <c r="B2200" i="1"/>
  <c r="E2200" i="1"/>
  <c r="H2200" i="1"/>
  <c r="I2200" i="1"/>
  <c r="A2145" i="1"/>
  <c r="B2145" i="1"/>
  <c r="E2145" i="1"/>
  <c r="H2145" i="1"/>
  <c r="I2145" i="1"/>
  <c r="A2102" i="1"/>
  <c r="B2102" i="1"/>
  <c r="E2102" i="1"/>
  <c r="H2102" i="1"/>
  <c r="I2102" i="1"/>
  <c r="A2126" i="1"/>
  <c r="B2126" i="1"/>
  <c r="E2126" i="1"/>
  <c r="H2126" i="1"/>
  <c r="I2126" i="1"/>
  <c r="A2148" i="1"/>
  <c r="B2148" i="1"/>
  <c r="E2148" i="1"/>
  <c r="H2148" i="1"/>
  <c r="I2148" i="1"/>
  <c r="A2149" i="1"/>
  <c r="B2149" i="1"/>
  <c r="E2149" i="1"/>
  <c r="H2149" i="1"/>
  <c r="I2149" i="1"/>
  <c r="A2171" i="1"/>
  <c r="B2171" i="1"/>
  <c r="E2171" i="1"/>
  <c r="H2171" i="1"/>
  <c r="I2171" i="1"/>
  <c r="A2232" i="1"/>
  <c r="B2232" i="1"/>
  <c r="E2232" i="1"/>
  <c r="H2232" i="1"/>
  <c r="I2232" i="1"/>
  <c r="A2195" i="1"/>
  <c r="B2195" i="1"/>
  <c r="E2195" i="1"/>
  <c r="H2195" i="1"/>
  <c r="I2195" i="1"/>
  <c r="A2115" i="1"/>
  <c r="B2115" i="1"/>
  <c r="E2115" i="1"/>
  <c r="H2115" i="1"/>
  <c r="I2115" i="1"/>
  <c r="A2108" i="1"/>
  <c r="B2108" i="1"/>
  <c r="E2108" i="1"/>
  <c r="H2108" i="1"/>
  <c r="I2108" i="1"/>
  <c r="A2206" i="1"/>
  <c r="B2206" i="1"/>
  <c r="E2206" i="1"/>
  <c r="H2206" i="1"/>
  <c r="I2206" i="1"/>
  <c r="A2158" i="1"/>
  <c r="B2158" i="1"/>
  <c r="E2158" i="1"/>
  <c r="H2158" i="1"/>
  <c r="I2158" i="1"/>
  <c r="A2104" i="1"/>
  <c r="B2104" i="1"/>
  <c r="E2104" i="1"/>
  <c r="H2104" i="1"/>
  <c r="I2104" i="1"/>
  <c r="A2111" i="1"/>
  <c r="B2111" i="1"/>
  <c r="E2111" i="1"/>
  <c r="H2111" i="1"/>
  <c r="I2111" i="1"/>
  <c r="A2159" i="1"/>
  <c r="B2159" i="1"/>
  <c r="E2159" i="1"/>
  <c r="H2159" i="1"/>
  <c r="I2159" i="1"/>
  <c r="A2155" i="1"/>
  <c r="B2155" i="1"/>
  <c r="E2155" i="1"/>
  <c r="H2155" i="1"/>
  <c r="I2155" i="1"/>
  <c r="A2127" i="1"/>
  <c r="B2127" i="1"/>
  <c r="E2127" i="1"/>
  <c r="H2127" i="1"/>
  <c r="I2127" i="1"/>
  <c r="A2128" i="1"/>
  <c r="B2128" i="1"/>
  <c r="E2128" i="1"/>
  <c r="H2128" i="1"/>
  <c r="I2128" i="1"/>
  <c r="A2207" i="1"/>
  <c r="B2207" i="1"/>
  <c r="E2207" i="1"/>
  <c r="H2207" i="1"/>
  <c r="I2207" i="1"/>
  <c r="A2146" i="1"/>
  <c r="B2146" i="1"/>
  <c r="E2146" i="1"/>
  <c r="H2146" i="1"/>
  <c r="I2146" i="1"/>
  <c r="A2190" i="1"/>
  <c r="B2190" i="1"/>
  <c r="E2190" i="1"/>
  <c r="H2190" i="1"/>
  <c r="I2190" i="1"/>
  <c r="A2160" i="1"/>
  <c r="B2160" i="1"/>
  <c r="E2160" i="1"/>
  <c r="H2160" i="1"/>
  <c r="I2160" i="1"/>
  <c r="A2119" i="1"/>
  <c r="B2119" i="1"/>
  <c r="E2119" i="1"/>
  <c r="H2119" i="1"/>
  <c r="I2119" i="1"/>
  <c r="A2179" i="1"/>
  <c r="B2179" i="1"/>
  <c r="E2179" i="1"/>
  <c r="H2179" i="1"/>
  <c r="I2179" i="1"/>
  <c r="A2129" i="1"/>
  <c r="B2129" i="1"/>
  <c r="E2129" i="1"/>
  <c r="H2129" i="1"/>
  <c r="I2129" i="1"/>
  <c r="A2130" i="1"/>
  <c r="B2130" i="1"/>
  <c r="E2130" i="1"/>
  <c r="H2130" i="1"/>
  <c r="I2130" i="1"/>
  <c r="A2202" i="1"/>
  <c r="B2202" i="1"/>
  <c r="E2202" i="1"/>
  <c r="H2202" i="1"/>
  <c r="I2202" i="1"/>
  <c r="A2176" i="1"/>
  <c r="B2176" i="1"/>
  <c r="E2176" i="1"/>
  <c r="H2176" i="1"/>
  <c r="I2176" i="1"/>
  <c r="A2208" i="1"/>
  <c r="B2208" i="1"/>
  <c r="E2208" i="1"/>
  <c r="H2208" i="1"/>
  <c r="I2208" i="1"/>
  <c r="A2184" i="1"/>
  <c r="B2184" i="1"/>
  <c r="E2184" i="1"/>
  <c r="H2184" i="1"/>
  <c r="I2184" i="1"/>
  <c r="A2192" i="1"/>
  <c r="B2192" i="1"/>
  <c r="E2192" i="1"/>
  <c r="H2192" i="1"/>
  <c r="I2192" i="1"/>
  <c r="A2122" i="1"/>
  <c r="B2122" i="1"/>
  <c r="E2122" i="1"/>
  <c r="H2122" i="1"/>
  <c r="I2122" i="1"/>
  <c r="A2181" i="1"/>
  <c r="B2181" i="1"/>
  <c r="E2181" i="1"/>
  <c r="H2181" i="1"/>
  <c r="I2181" i="1"/>
  <c r="A2225" i="1"/>
  <c r="B2225" i="1"/>
  <c r="E2225" i="1"/>
  <c r="H2225" i="1"/>
  <c r="I2225" i="1"/>
  <c r="A2204" i="1"/>
  <c r="B2204" i="1"/>
  <c r="E2204" i="1"/>
  <c r="H2204" i="1"/>
  <c r="I2204" i="1"/>
  <c r="A2161" i="1"/>
  <c r="B2161" i="1"/>
  <c r="E2161" i="1"/>
  <c r="H2161" i="1"/>
  <c r="I2161" i="1"/>
  <c r="A2182" i="1"/>
  <c r="B2182" i="1"/>
  <c r="E2182" i="1"/>
  <c r="H2182" i="1"/>
  <c r="I2182" i="1"/>
  <c r="A2221" i="1"/>
  <c r="B2221" i="1"/>
  <c r="E2221" i="1"/>
  <c r="H2221" i="1"/>
  <c r="I2221" i="1"/>
  <c r="A2209" i="1"/>
  <c r="B2209" i="1"/>
  <c r="E2209" i="1"/>
  <c r="H2209" i="1"/>
  <c r="I2209" i="1"/>
  <c r="A2227" i="1"/>
  <c r="B2227" i="1"/>
  <c r="E2227" i="1"/>
  <c r="H2227" i="1"/>
  <c r="I2227" i="1"/>
  <c r="A2109" i="1"/>
  <c r="B2109" i="1"/>
  <c r="E2109" i="1"/>
  <c r="H2109" i="1"/>
  <c r="I2109" i="1"/>
  <c r="A2131" i="1"/>
  <c r="B2131" i="1"/>
  <c r="E2131" i="1"/>
  <c r="H2131" i="1"/>
  <c r="I2131" i="1"/>
  <c r="A2229" i="1"/>
  <c r="B2229" i="1"/>
  <c r="E2229" i="1"/>
  <c r="H2229" i="1"/>
  <c r="I2229" i="1"/>
  <c r="A2162" i="1"/>
  <c r="B2162" i="1"/>
  <c r="E2162" i="1"/>
  <c r="H2162" i="1"/>
  <c r="I2162" i="1"/>
  <c r="A2132" i="1"/>
  <c r="B2132" i="1"/>
  <c r="E2132" i="1"/>
  <c r="H2132" i="1"/>
  <c r="I2132" i="1"/>
  <c r="A225" i="1"/>
  <c r="B225" i="1"/>
  <c r="E225" i="1"/>
  <c r="H225" i="1"/>
  <c r="I225" i="1"/>
  <c r="A226" i="1"/>
  <c r="B226" i="1"/>
  <c r="E226" i="1"/>
  <c r="H226" i="1"/>
  <c r="I226" i="1"/>
  <c r="A235" i="1"/>
  <c r="B235" i="1"/>
  <c r="E235" i="1"/>
  <c r="H235" i="1"/>
  <c r="I235" i="1"/>
  <c r="A236" i="1"/>
  <c r="B236" i="1"/>
  <c r="E236" i="1"/>
  <c r="H236" i="1"/>
  <c r="I236" i="1"/>
  <c r="A231" i="1"/>
  <c r="B231" i="1"/>
  <c r="E231" i="1"/>
  <c r="H231" i="1"/>
  <c r="I231" i="1"/>
  <c r="A232" i="1"/>
  <c r="B232" i="1"/>
  <c r="E232" i="1"/>
  <c r="H232" i="1"/>
  <c r="I232" i="1"/>
  <c r="A227" i="1"/>
  <c r="B227" i="1"/>
  <c r="E227" i="1"/>
  <c r="H227" i="1"/>
  <c r="I227" i="1"/>
  <c r="A228" i="1"/>
  <c r="B228" i="1"/>
  <c r="E228" i="1"/>
  <c r="H228" i="1"/>
  <c r="I228" i="1"/>
  <c r="A223" i="1"/>
  <c r="B223" i="1"/>
  <c r="E223" i="1"/>
  <c r="H223" i="1"/>
  <c r="I223" i="1"/>
  <c r="A224" i="1"/>
  <c r="B224" i="1"/>
  <c r="E224" i="1"/>
  <c r="H224" i="1"/>
  <c r="I224" i="1"/>
  <c r="A229" i="1"/>
  <c r="B229" i="1"/>
  <c r="E229" i="1"/>
  <c r="H229" i="1"/>
  <c r="I229" i="1"/>
  <c r="A230" i="1"/>
  <c r="B230" i="1"/>
  <c r="E230" i="1"/>
  <c r="H230" i="1"/>
  <c r="I230" i="1"/>
  <c r="A219" i="1"/>
  <c r="B219" i="1"/>
  <c r="E219" i="1"/>
  <c r="H219" i="1"/>
  <c r="I219" i="1"/>
  <c r="A220" i="1"/>
  <c r="B220" i="1"/>
  <c r="E220" i="1"/>
  <c r="H220" i="1"/>
  <c r="I220" i="1"/>
  <c r="A221" i="1"/>
  <c r="B221" i="1"/>
  <c r="E221" i="1"/>
  <c r="H221" i="1"/>
  <c r="I221" i="1"/>
  <c r="A222" i="1"/>
  <c r="B222" i="1"/>
  <c r="E222" i="1"/>
  <c r="H222" i="1"/>
  <c r="I222" i="1"/>
  <c r="A237" i="1"/>
  <c r="B237" i="1"/>
  <c r="E237" i="1"/>
  <c r="H237" i="1"/>
  <c r="I237" i="1"/>
  <c r="A238" i="1"/>
  <c r="B238" i="1"/>
  <c r="E238" i="1"/>
  <c r="H238" i="1"/>
  <c r="I238" i="1"/>
  <c r="A239" i="1"/>
  <c r="B239" i="1"/>
  <c r="E239" i="1"/>
  <c r="H239" i="1"/>
  <c r="I239" i="1"/>
  <c r="A240" i="1"/>
  <c r="B240" i="1"/>
  <c r="E240" i="1"/>
  <c r="H240" i="1"/>
  <c r="I240" i="1"/>
  <c r="A243" i="1"/>
  <c r="B243" i="1"/>
  <c r="E243" i="1"/>
  <c r="H243" i="1"/>
  <c r="I243" i="1"/>
  <c r="A244" i="1"/>
  <c r="B244" i="1"/>
  <c r="E244" i="1"/>
  <c r="H244" i="1"/>
  <c r="I244" i="1"/>
  <c r="A253" i="1"/>
  <c r="B253" i="1"/>
  <c r="E253" i="1"/>
  <c r="H253" i="1"/>
  <c r="I253" i="1"/>
  <c r="A254" i="1"/>
  <c r="B254" i="1"/>
  <c r="E254" i="1"/>
  <c r="H254" i="1"/>
  <c r="I254" i="1"/>
  <c r="A245" i="1"/>
  <c r="B245" i="1"/>
  <c r="E245" i="1"/>
  <c r="H245" i="1"/>
  <c r="I245" i="1"/>
  <c r="A246" i="1"/>
  <c r="B246" i="1"/>
  <c r="E246" i="1"/>
  <c r="H246" i="1"/>
  <c r="I246" i="1"/>
  <c r="A249" i="1"/>
  <c r="B249" i="1"/>
  <c r="E249" i="1"/>
  <c r="H249" i="1"/>
  <c r="I249" i="1"/>
  <c r="A250" i="1"/>
  <c r="B250" i="1"/>
  <c r="E250" i="1"/>
  <c r="H250" i="1"/>
  <c r="I250" i="1"/>
  <c r="A251" i="1"/>
  <c r="B251" i="1"/>
  <c r="E251" i="1"/>
  <c r="H251" i="1"/>
  <c r="I251" i="1"/>
  <c r="A252" i="1"/>
  <c r="B252" i="1"/>
  <c r="E252" i="1"/>
  <c r="H252" i="1"/>
  <c r="I252" i="1"/>
  <c r="A247" i="1"/>
  <c r="B247" i="1"/>
  <c r="E247" i="1"/>
  <c r="H247" i="1"/>
  <c r="I247" i="1"/>
  <c r="A248" i="1"/>
  <c r="B248" i="1"/>
  <c r="E248" i="1"/>
  <c r="H248" i="1"/>
  <c r="I248" i="1"/>
  <c r="A233" i="1"/>
  <c r="B233" i="1"/>
  <c r="E233" i="1"/>
  <c r="H233" i="1"/>
  <c r="I233" i="1"/>
  <c r="A234" i="1"/>
  <c r="B234" i="1"/>
  <c r="E234" i="1"/>
  <c r="H234" i="1"/>
  <c r="I234" i="1"/>
  <c r="A241" i="1"/>
  <c r="B241" i="1"/>
  <c r="E241" i="1"/>
  <c r="H241" i="1"/>
  <c r="I241" i="1"/>
  <c r="A242" i="1"/>
  <c r="B242" i="1"/>
  <c r="E242" i="1"/>
  <c r="H242" i="1"/>
  <c r="I242" i="1"/>
  <c r="A604" i="1"/>
  <c r="B604" i="1"/>
  <c r="E604" i="1"/>
  <c r="H604" i="1"/>
  <c r="I604" i="1"/>
  <c r="A609" i="1"/>
  <c r="B609" i="1"/>
  <c r="E609" i="1"/>
  <c r="H609" i="1"/>
  <c r="I609" i="1"/>
  <c r="A1469" i="1"/>
  <c r="B1469" i="1"/>
  <c r="E1469" i="1"/>
  <c r="H1469" i="1"/>
  <c r="I1469" i="1"/>
  <c r="A1470" i="1"/>
  <c r="B1470" i="1"/>
  <c r="E1470" i="1"/>
  <c r="H1470" i="1"/>
  <c r="I1470" i="1"/>
  <c r="A1473" i="1"/>
  <c r="B1473" i="1"/>
  <c r="E1473" i="1"/>
  <c r="H1473" i="1"/>
  <c r="I1473" i="1"/>
  <c r="A1474" i="1"/>
  <c r="B1474" i="1"/>
  <c r="E1474" i="1"/>
  <c r="H1474" i="1"/>
  <c r="I1474" i="1"/>
  <c r="A1465" i="1"/>
  <c r="B1465" i="1"/>
  <c r="E1465" i="1"/>
  <c r="H1465" i="1"/>
  <c r="I1465" i="1"/>
  <c r="A1466" i="1"/>
  <c r="B1466" i="1"/>
  <c r="E1466" i="1"/>
  <c r="H1466" i="1"/>
  <c r="I1466" i="1"/>
  <c r="A1463" i="1"/>
  <c r="B1463" i="1"/>
  <c r="E1463" i="1"/>
  <c r="H1463" i="1"/>
  <c r="I1463" i="1"/>
  <c r="A1464" i="1"/>
  <c r="B1464" i="1"/>
  <c r="E1464" i="1"/>
  <c r="H1464" i="1"/>
  <c r="I1464" i="1"/>
  <c r="A1457" i="1"/>
  <c r="B1457" i="1"/>
  <c r="E1457" i="1"/>
  <c r="H1457" i="1"/>
  <c r="I1457" i="1"/>
  <c r="A1458" i="1"/>
  <c r="B1458" i="1"/>
  <c r="E1458" i="1"/>
  <c r="H1458" i="1"/>
  <c r="I1458" i="1"/>
  <c r="A1461" i="1"/>
  <c r="B1461" i="1"/>
  <c r="E1461" i="1"/>
  <c r="H1461" i="1"/>
  <c r="I1461" i="1"/>
  <c r="A1462" i="1"/>
  <c r="B1462" i="1"/>
  <c r="E1462" i="1"/>
  <c r="H1462" i="1"/>
  <c r="I1462" i="1"/>
  <c r="A1475" i="1"/>
  <c r="B1475" i="1"/>
  <c r="E1475" i="1"/>
  <c r="H1475" i="1"/>
  <c r="I1475" i="1"/>
  <c r="A1476" i="1"/>
  <c r="B1476" i="1"/>
  <c r="E1476" i="1"/>
  <c r="H1476" i="1"/>
  <c r="I1476" i="1"/>
  <c r="A1471" i="1"/>
  <c r="B1471" i="1"/>
  <c r="E1471" i="1"/>
  <c r="H1471" i="1"/>
  <c r="I1471" i="1"/>
  <c r="A1472" i="1"/>
  <c r="B1472" i="1"/>
  <c r="E1472" i="1"/>
  <c r="H1472" i="1"/>
  <c r="I1472" i="1"/>
  <c r="A1477" i="1"/>
  <c r="B1477" i="1"/>
  <c r="E1477" i="1"/>
  <c r="H1477" i="1"/>
  <c r="I1477" i="1"/>
  <c r="A1478" i="1"/>
  <c r="B1478" i="1"/>
  <c r="E1478" i="1"/>
  <c r="H1478" i="1"/>
  <c r="I1478" i="1"/>
  <c r="A1459" i="1"/>
  <c r="B1459" i="1"/>
  <c r="E1459" i="1"/>
  <c r="H1459" i="1"/>
  <c r="I1459" i="1"/>
  <c r="A1460" i="1"/>
  <c r="B1460" i="1"/>
  <c r="E1460" i="1"/>
  <c r="H1460" i="1"/>
  <c r="I1460" i="1"/>
  <c r="A1479" i="1"/>
  <c r="B1479" i="1"/>
  <c r="E1479" i="1"/>
  <c r="H1479" i="1"/>
  <c r="I1479" i="1"/>
  <c r="A1480" i="1"/>
  <c r="B1480" i="1"/>
  <c r="E1480" i="1"/>
  <c r="H1480" i="1"/>
  <c r="I1480" i="1"/>
  <c r="A1467" i="1"/>
  <c r="B1467" i="1"/>
  <c r="E1467" i="1"/>
  <c r="H1467" i="1"/>
  <c r="I1467" i="1"/>
  <c r="A1468" i="1"/>
  <c r="B1468" i="1"/>
  <c r="E1468" i="1"/>
  <c r="H1468" i="1"/>
  <c r="I1468" i="1"/>
  <c r="A2431" i="1"/>
  <c r="B2431" i="1"/>
  <c r="E2431" i="1"/>
  <c r="H2431" i="1"/>
  <c r="I2431" i="1"/>
  <c r="A2426" i="1"/>
  <c r="B2426" i="1"/>
  <c r="E2426" i="1"/>
  <c r="H2426" i="1"/>
  <c r="I2426" i="1"/>
  <c r="A2445" i="1"/>
  <c r="B2445" i="1"/>
  <c r="E2445" i="1"/>
  <c r="H2445" i="1"/>
  <c r="I2445" i="1"/>
  <c r="A2416" i="1"/>
  <c r="B2416" i="1"/>
  <c r="E2416" i="1"/>
  <c r="H2416" i="1"/>
  <c r="I2416" i="1"/>
  <c r="A2441" i="1"/>
  <c r="B2441" i="1"/>
  <c r="E2441" i="1"/>
  <c r="H2441" i="1"/>
  <c r="I2441" i="1"/>
  <c r="A2427" i="1"/>
  <c r="B2427" i="1"/>
  <c r="E2427" i="1"/>
  <c r="H2427" i="1"/>
  <c r="I2427" i="1"/>
  <c r="A2433" i="1"/>
  <c r="B2433" i="1"/>
  <c r="E2433" i="1"/>
  <c r="H2433" i="1"/>
  <c r="I2433" i="1"/>
  <c r="A2447" i="1"/>
  <c r="B2447" i="1"/>
  <c r="E2447" i="1"/>
  <c r="H2447" i="1"/>
  <c r="I2447" i="1"/>
  <c r="A2422" i="1"/>
  <c r="B2422" i="1"/>
  <c r="E2422" i="1"/>
  <c r="H2422" i="1"/>
  <c r="I2422" i="1"/>
  <c r="A2436" i="1"/>
  <c r="B2436" i="1"/>
  <c r="E2436" i="1"/>
  <c r="H2436" i="1"/>
  <c r="I2436" i="1"/>
  <c r="A2439" i="1"/>
  <c r="B2439" i="1"/>
  <c r="E2439" i="1"/>
  <c r="H2439" i="1"/>
  <c r="I2439" i="1"/>
  <c r="A2429" i="1"/>
  <c r="B2429" i="1"/>
  <c r="E2429" i="1"/>
  <c r="H2429" i="1"/>
  <c r="I2429" i="1"/>
  <c r="A2451" i="1"/>
  <c r="B2451" i="1"/>
  <c r="E2451" i="1"/>
  <c r="H2451" i="1"/>
  <c r="I2451" i="1"/>
  <c r="A2443" i="1"/>
  <c r="B2443" i="1"/>
  <c r="E2443" i="1"/>
  <c r="H2443" i="1"/>
  <c r="I2443" i="1"/>
  <c r="A2453" i="1"/>
  <c r="B2453" i="1"/>
  <c r="E2453" i="1"/>
  <c r="H2453" i="1"/>
  <c r="I2453" i="1"/>
  <c r="A2437" i="1"/>
  <c r="B2437" i="1"/>
  <c r="E2437" i="1"/>
  <c r="H2437" i="1"/>
  <c r="I2437" i="1"/>
  <c r="A2456" i="1"/>
  <c r="B2456" i="1"/>
  <c r="E2456" i="1"/>
  <c r="H2456" i="1"/>
  <c r="I2456" i="1"/>
  <c r="A2460" i="1"/>
  <c r="B2460" i="1"/>
  <c r="E2460" i="1"/>
  <c r="H2460" i="1"/>
  <c r="I2460" i="1"/>
  <c r="A2454" i="1"/>
  <c r="B2454" i="1"/>
  <c r="E2454" i="1"/>
  <c r="H2454" i="1"/>
  <c r="I2454" i="1"/>
  <c r="A1938" i="1"/>
  <c r="B1938" i="1"/>
  <c r="E1938" i="1"/>
  <c r="H1938" i="1"/>
  <c r="I1938" i="1"/>
  <c r="A526" i="1"/>
  <c r="B526" i="1"/>
  <c r="E526" i="1"/>
  <c r="H526" i="1"/>
  <c r="I526" i="1"/>
  <c r="A1861" i="1"/>
  <c r="B1861" i="1"/>
  <c r="E1861" i="1"/>
  <c r="H1861" i="1"/>
  <c r="I1861" i="1"/>
  <c r="A1865" i="1"/>
  <c r="B1865" i="1"/>
  <c r="E1865" i="1"/>
  <c r="H1865" i="1"/>
  <c r="I1865" i="1"/>
  <c r="A2830" i="1"/>
  <c r="B2830" i="1"/>
  <c r="E2830" i="1"/>
  <c r="H2830" i="1"/>
  <c r="I2830" i="1"/>
  <c r="A2831" i="1"/>
  <c r="B2831" i="1"/>
  <c r="E2831" i="1"/>
  <c r="H2831" i="1"/>
  <c r="I2831" i="1"/>
  <c r="A2828" i="1"/>
  <c r="B2828" i="1"/>
  <c r="E2828" i="1"/>
  <c r="H2828" i="1"/>
  <c r="I2828" i="1"/>
  <c r="A2829" i="1"/>
  <c r="B2829" i="1"/>
  <c r="E2829" i="1"/>
  <c r="H2829" i="1"/>
  <c r="I2829" i="1"/>
  <c r="A2841" i="1"/>
  <c r="B2841" i="1"/>
  <c r="E2841" i="1"/>
  <c r="H2841" i="1"/>
  <c r="I2841" i="1"/>
  <c r="A2822" i="1"/>
  <c r="B2822" i="1"/>
  <c r="E2822" i="1"/>
  <c r="H2822" i="1"/>
  <c r="I2822" i="1"/>
  <c r="A2823" i="1"/>
  <c r="B2823" i="1"/>
  <c r="E2823" i="1"/>
  <c r="H2823" i="1"/>
  <c r="I2823" i="1"/>
  <c r="A2815" i="1"/>
  <c r="B2815" i="1"/>
  <c r="E2815" i="1"/>
  <c r="H2815" i="1"/>
  <c r="I2815" i="1"/>
  <c r="A2809" i="1"/>
  <c r="B2809" i="1"/>
  <c r="E2809" i="1"/>
  <c r="H2809" i="1"/>
  <c r="I2809" i="1"/>
  <c r="A2810" i="1"/>
  <c r="B2810" i="1"/>
  <c r="E2810" i="1"/>
  <c r="H2810" i="1"/>
  <c r="I2810" i="1"/>
  <c r="A2805" i="1"/>
  <c r="B2805" i="1"/>
  <c r="E2805" i="1"/>
  <c r="H2805" i="1"/>
  <c r="I2805" i="1"/>
  <c r="A2806" i="1"/>
  <c r="B2806" i="1"/>
  <c r="E2806" i="1"/>
  <c r="H2806" i="1"/>
  <c r="I2806" i="1"/>
  <c r="A2839" i="1"/>
  <c r="B2839" i="1"/>
  <c r="E2839" i="1"/>
  <c r="H2839" i="1"/>
  <c r="I2839" i="1"/>
  <c r="A2840" i="1"/>
  <c r="B2840" i="1"/>
  <c r="E2840" i="1"/>
  <c r="H2840" i="1"/>
  <c r="I2840" i="1"/>
  <c r="A2818" i="1"/>
  <c r="B2818" i="1"/>
  <c r="E2818" i="1"/>
  <c r="H2818" i="1"/>
  <c r="I2818" i="1"/>
  <c r="A2819" i="1"/>
  <c r="B2819" i="1"/>
  <c r="E2819" i="1"/>
  <c r="H2819" i="1"/>
  <c r="I2819" i="1"/>
  <c r="A2842" i="1"/>
  <c r="B2842" i="1"/>
  <c r="E2842" i="1"/>
  <c r="H2842" i="1"/>
  <c r="I2842" i="1"/>
  <c r="A2807" i="1"/>
  <c r="B2807" i="1"/>
  <c r="E2807" i="1"/>
  <c r="H2807" i="1"/>
  <c r="I2807" i="1"/>
  <c r="A2808" i="1"/>
  <c r="B2808" i="1"/>
  <c r="E2808" i="1"/>
  <c r="H2808" i="1"/>
  <c r="I2808" i="1"/>
  <c r="A2838" i="1"/>
  <c r="B2838" i="1"/>
  <c r="E2838" i="1"/>
  <c r="H2838" i="1"/>
  <c r="I2838" i="1"/>
  <c r="A2832" i="1"/>
  <c r="B2832" i="1"/>
  <c r="E2832" i="1"/>
  <c r="H2832" i="1"/>
  <c r="I2832" i="1"/>
  <c r="A2833" i="1"/>
  <c r="B2833" i="1"/>
  <c r="E2833" i="1"/>
  <c r="H2833" i="1"/>
  <c r="I2833" i="1"/>
  <c r="A2834" i="1"/>
  <c r="B2834" i="1"/>
  <c r="E2834" i="1"/>
  <c r="H2834" i="1"/>
  <c r="I2834" i="1"/>
  <c r="A2835" i="1"/>
  <c r="B2835" i="1"/>
  <c r="E2835" i="1"/>
  <c r="H2835" i="1"/>
  <c r="I2835" i="1"/>
  <c r="A2836" i="1"/>
  <c r="B2836" i="1"/>
  <c r="E2836" i="1"/>
  <c r="H2836" i="1"/>
  <c r="I2836" i="1"/>
  <c r="A2837" i="1"/>
  <c r="B2837" i="1"/>
  <c r="E2837" i="1"/>
  <c r="H2837" i="1"/>
  <c r="I2837" i="1"/>
  <c r="A2824" i="1"/>
  <c r="B2824" i="1"/>
  <c r="E2824" i="1"/>
  <c r="H2824" i="1"/>
  <c r="I2824" i="1"/>
  <c r="A2825" i="1"/>
  <c r="B2825" i="1"/>
  <c r="E2825" i="1"/>
  <c r="H2825" i="1"/>
  <c r="I2825" i="1"/>
  <c r="A2813" i="1"/>
  <c r="B2813" i="1"/>
  <c r="E2813" i="1"/>
  <c r="H2813" i="1"/>
  <c r="I2813" i="1"/>
  <c r="A2814" i="1"/>
  <c r="B2814" i="1"/>
  <c r="E2814" i="1"/>
  <c r="H2814" i="1"/>
  <c r="I2814" i="1"/>
  <c r="A2820" i="1"/>
  <c r="B2820" i="1"/>
  <c r="E2820" i="1"/>
  <c r="H2820" i="1"/>
  <c r="I2820" i="1"/>
  <c r="A2821" i="1"/>
  <c r="B2821" i="1"/>
  <c r="E2821" i="1"/>
  <c r="H2821" i="1"/>
  <c r="I2821" i="1"/>
  <c r="A2811" i="1"/>
  <c r="B2811" i="1"/>
  <c r="E2811" i="1"/>
  <c r="H2811" i="1"/>
  <c r="I2811" i="1"/>
  <c r="A2812" i="1"/>
  <c r="B2812" i="1"/>
  <c r="E2812" i="1"/>
  <c r="H2812" i="1"/>
  <c r="I2812" i="1"/>
  <c r="A2816" i="1"/>
  <c r="B2816" i="1"/>
  <c r="E2816" i="1"/>
  <c r="H2816" i="1"/>
  <c r="I2816" i="1"/>
  <c r="A2817" i="1"/>
  <c r="B2817" i="1"/>
  <c r="E2817" i="1"/>
  <c r="H2817" i="1"/>
  <c r="I2817" i="1"/>
  <c r="A2826" i="1"/>
  <c r="B2826" i="1"/>
  <c r="E2826" i="1"/>
  <c r="H2826" i="1"/>
  <c r="I2826" i="1"/>
  <c r="A2827" i="1"/>
  <c r="B2827" i="1"/>
  <c r="E2827" i="1"/>
  <c r="H2827" i="1"/>
  <c r="I2827" i="1"/>
  <c r="A2843" i="1"/>
  <c r="B2843" i="1"/>
  <c r="E2843" i="1"/>
  <c r="H2843" i="1"/>
  <c r="I2843" i="1"/>
  <c r="A2844" i="1"/>
  <c r="B2844" i="1"/>
  <c r="E2844" i="1"/>
  <c r="H2844" i="1"/>
  <c r="I2844" i="1"/>
  <c r="A2845" i="1"/>
  <c r="B2845" i="1"/>
  <c r="E2845" i="1"/>
  <c r="H2845" i="1"/>
  <c r="I2845" i="1"/>
  <c r="A2846" i="1"/>
  <c r="B2846" i="1"/>
  <c r="E2846" i="1"/>
  <c r="H2846" i="1"/>
  <c r="I2846" i="1"/>
  <c r="A1219" i="1"/>
  <c r="B1219" i="1"/>
  <c r="E1219" i="1"/>
  <c r="H1219" i="1"/>
  <c r="I1219" i="1"/>
  <c r="A1220" i="1"/>
  <c r="B1220" i="1"/>
  <c r="E1220" i="1"/>
  <c r="H1220" i="1"/>
  <c r="I1220" i="1"/>
  <c r="A1245" i="1"/>
  <c r="B1245" i="1"/>
  <c r="E1245" i="1"/>
  <c r="H1245" i="1"/>
  <c r="I1245" i="1"/>
  <c r="A1246" i="1"/>
  <c r="B1246" i="1"/>
  <c r="E1246" i="1"/>
  <c r="H1246" i="1"/>
  <c r="I1246" i="1"/>
  <c r="A1235" i="1"/>
  <c r="B1235" i="1"/>
  <c r="E1235" i="1"/>
  <c r="H1235" i="1"/>
  <c r="I1235" i="1"/>
  <c r="A1236" i="1"/>
  <c r="B1236" i="1"/>
  <c r="E1236" i="1"/>
  <c r="H1236" i="1"/>
  <c r="I1236" i="1"/>
  <c r="A1231" i="1"/>
  <c r="B1231" i="1"/>
  <c r="E1231" i="1"/>
  <c r="H1231" i="1"/>
  <c r="I1231" i="1"/>
  <c r="A1232" i="1"/>
  <c r="B1232" i="1"/>
  <c r="E1232" i="1"/>
  <c r="H1232" i="1"/>
  <c r="I1232" i="1"/>
  <c r="A1237" i="1"/>
  <c r="B1237" i="1"/>
  <c r="E1237" i="1"/>
  <c r="H1237" i="1"/>
  <c r="I1237" i="1"/>
  <c r="A1238" i="1"/>
  <c r="B1238" i="1"/>
  <c r="E1238" i="1"/>
  <c r="H1238" i="1"/>
  <c r="I1238" i="1"/>
  <c r="A1255" i="1"/>
  <c r="B1255" i="1"/>
  <c r="E1255" i="1"/>
  <c r="H1255" i="1"/>
  <c r="I1255" i="1"/>
  <c r="A1256" i="1"/>
  <c r="B1256" i="1"/>
  <c r="E1256" i="1"/>
  <c r="H1256" i="1"/>
  <c r="I1256" i="1"/>
  <c r="A1225" i="1"/>
  <c r="B1225" i="1"/>
  <c r="E1225" i="1"/>
  <c r="H1225" i="1"/>
  <c r="I1225" i="1"/>
  <c r="A1226" i="1"/>
  <c r="B1226" i="1"/>
  <c r="E1226" i="1"/>
  <c r="H1226" i="1"/>
  <c r="I1226" i="1"/>
  <c r="A1212" i="1"/>
  <c r="B1212" i="1"/>
  <c r="E1212" i="1"/>
  <c r="H1212" i="1"/>
  <c r="I1212" i="1"/>
  <c r="A1253" i="1"/>
  <c r="B1253" i="1"/>
  <c r="E1253" i="1"/>
  <c r="H1253" i="1"/>
  <c r="I1253" i="1"/>
  <c r="A1254" i="1"/>
  <c r="B1254" i="1"/>
  <c r="E1254" i="1"/>
  <c r="H1254" i="1"/>
  <c r="I1254" i="1"/>
  <c r="A1213" i="1"/>
  <c r="B1213" i="1"/>
  <c r="E1213" i="1"/>
  <c r="H1213" i="1"/>
  <c r="I1213" i="1"/>
  <c r="A1214" i="1"/>
  <c r="B1214" i="1"/>
  <c r="E1214" i="1"/>
  <c r="H1214" i="1"/>
  <c r="I1214" i="1"/>
  <c r="A1227" i="1"/>
  <c r="B1227" i="1"/>
  <c r="E1227" i="1"/>
  <c r="H1227" i="1"/>
  <c r="I1227" i="1"/>
  <c r="A1228" i="1"/>
  <c r="B1228" i="1"/>
  <c r="E1228" i="1"/>
  <c r="H1228" i="1"/>
  <c r="I1228" i="1"/>
  <c r="A1241" i="1"/>
  <c r="B1241" i="1"/>
  <c r="E1241" i="1"/>
  <c r="H1241" i="1"/>
  <c r="I1241" i="1"/>
  <c r="A1242" i="1"/>
  <c r="B1242" i="1"/>
  <c r="E1242" i="1"/>
  <c r="H1242" i="1"/>
  <c r="I1242" i="1"/>
  <c r="A1233" i="1"/>
  <c r="B1233" i="1"/>
  <c r="E1233" i="1"/>
  <c r="H1233" i="1"/>
  <c r="I1233" i="1"/>
  <c r="A1234" i="1"/>
  <c r="B1234" i="1"/>
  <c r="E1234" i="1"/>
  <c r="H1234" i="1"/>
  <c r="I1234" i="1"/>
  <c r="A1259" i="1"/>
  <c r="B1259" i="1"/>
  <c r="E1259" i="1"/>
  <c r="H1259" i="1"/>
  <c r="I1259" i="1"/>
  <c r="A1260" i="1"/>
  <c r="B1260" i="1"/>
  <c r="E1260" i="1"/>
  <c r="H1260" i="1"/>
  <c r="I1260" i="1"/>
  <c r="A1243" i="1"/>
  <c r="B1243" i="1"/>
  <c r="E1243" i="1"/>
  <c r="H1243" i="1"/>
  <c r="I1243" i="1"/>
  <c r="A1244" i="1"/>
  <c r="B1244" i="1"/>
  <c r="E1244" i="1"/>
  <c r="H1244" i="1"/>
  <c r="I1244" i="1"/>
  <c r="A1239" i="1"/>
  <c r="B1239" i="1"/>
  <c r="E1239" i="1"/>
  <c r="H1239" i="1"/>
  <c r="I1239" i="1"/>
  <c r="A1240" i="1"/>
  <c r="B1240" i="1"/>
  <c r="E1240" i="1"/>
  <c r="H1240" i="1"/>
  <c r="I1240" i="1"/>
  <c r="A620" i="1"/>
  <c r="B620" i="1"/>
  <c r="E620" i="1"/>
  <c r="H620" i="1"/>
  <c r="I620" i="1"/>
  <c r="A761" i="1"/>
  <c r="B761" i="1"/>
  <c r="E761" i="1"/>
  <c r="H761" i="1"/>
  <c r="I761" i="1"/>
  <c r="A124" i="1"/>
  <c r="B124" i="1"/>
  <c r="E124" i="1"/>
  <c r="H124" i="1"/>
  <c r="I124" i="1"/>
  <c r="A2495" i="1"/>
  <c r="B2495" i="1"/>
  <c r="E2495" i="1"/>
  <c r="H2495" i="1"/>
  <c r="I2495" i="1"/>
  <c r="A54" i="1"/>
  <c r="B54" i="1"/>
  <c r="E54" i="1"/>
  <c r="H54" i="1"/>
  <c r="I54" i="1"/>
  <c r="A69" i="1"/>
  <c r="B69" i="1"/>
  <c r="E69" i="1"/>
  <c r="H69" i="1"/>
  <c r="I69" i="1"/>
  <c r="A71" i="1"/>
  <c r="B71" i="1"/>
  <c r="E71" i="1"/>
  <c r="H71" i="1"/>
  <c r="I71" i="1"/>
  <c r="A60" i="1"/>
  <c r="B60" i="1"/>
  <c r="E60" i="1"/>
  <c r="H60" i="1"/>
  <c r="I60" i="1"/>
  <c r="A724" i="1"/>
  <c r="B724" i="1"/>
  <c r="E724" i="1"/>
  <c r="H724" i="1"/>
  <c r="I724" i="1"/>
  <c r="A1032" i="1"/>
  <c r="B1032" i="1"/>
  <c r="E1032" i="1"/>
  <c r="H1032" i="1"/>
  <c r="I1032" i="1"/>
  <c r="A1695" i="1"/>
  <c r="B1695" i="1"/>
  <c r="E1695" i="1"/>
  <c r="H1695" i="1"/>
  <c r="I1695" i="1"/>
  <c r="A2114" i="1"/>
  <c r="B2114" i="1"/>
  <c r="E2114" i="1"/>
  <c r="H2114" i="1"/>
  <c r="I2114" i="1"/>
  <c r="A2172" i="1"/>
  <c r="B2172" i="1"/>
  <c r="E2172" i="1"/>
  <c r="H2172" i="1"/>
  <c r="I2172" i="1"/>
  <c r="A2105" i="1"/>
  <c r="B2105" i="1"/>
  <c r="E2105" i="1"/>
  <c r="H2105" i="1"/>
  <c r="I2105" i="1"/>
  <c r="A2133" i="1"/>
  <c r="B2133" i="1"/>
  <c r="E2133" i="1"/>
  <c r="H2133" i="1"/>
  <c r="I2133" i="1"/>
  <c r="A2134" i="1"/>
  <c r="B2134" i="1"/>
  <c r="E2134" i="1"/>
  <c r="H2134" i="1"/>
  <c r="I2134" i="1"/>
  <c r="A2228" i="1"/>
  <c r="B2228" i="1"/>
  <c r="E2228" i="1"/>
  <c r="H2228" i="1"/>
  <c r="I2228" i="1"/>
  <c r="A2308" i="1"/>
  <c r="B2308" i="1"/>
  <c r="E2308" i="1"/>
  <c r="H2308" i="1"/>
  <c r="I2308" i="1"/>
  <c r="A2498" i="1"/>
  <c r="B2498" i="1"/>
  <c r="E2498" i="1"/>
  <c r="H2498" i="1"/>
  <c r="I2498" i="1"/>
  <c r="A2718" i="1"/>
  <c r="B2718" i="1"/>
  <c r="E2718" i="1"/>
  <c r="H2718" i="1"/>
  <c r="I2718" i="1"/>
  <c r="A2726" i="1"/>
  <c r="B2726" i="1"/>
  <c r="E2726" i="1"/>
  <c r="H2726" i="1"/>
  <c r="I2726" i="1"/>
  <c r="A2734" i="1"/>
  <c r="B2734" i="1"/>
  <c r="E2734" i="1"/>
  <c r="H2734" i="1"/>
  <c r="I2734" i="1"/>
  <c r="A3108" i="1"/>
  <c r="B3108" i="1"/>
  <c r="E3108" i="1"/>
  <c r="H3108" i="1"/>
  <c r="I3108" i="1"/>
  <c r="A3302" i="1"/>
  <c r="B3302" i="1"/>
  <c r="E3302" i="1"/>
  <c r="H3302" i="1"/>
  <c r="I3302" i="1"/>
  <c r="A413" i="1"/>
  <c r="B413" i="1"/>
  <c r="E413" i="1"/>
  <c r="H413" i="1"/>
  <c r="I413" i="1"/>
  <c r="A1902" i="1"/>
  <c r="B1902" i="1"/>
  <c r="E1902" i="1"/>
  <c r="H1902" i="1"/>
  <c r="I1902" i="1"/>
  <c r="A1168" i="1"/>
  <c r="B1168" i="1"/>
  <c r="E1168" i="1"/>
  <c r="H1168" i="1"/>
  <c r="I1168" i="1"/>
  <c r="A1194" i="1"/>
  <c r="B1194" i="1"/>
  <c r="E1194" i="1"/>
  <c r="H1194" i="1"/>
  <c r="I1194" i="1"/>
  <c r="A2482" i="1"/>
  <c r="B2482" i="1"/>
  <c r="E2482" i="1"/>
  <c r="H2482" i="1"/>
  <c r="I2482" i="1"/>
  <c r="A1770" i="1"/>
  <c r="B1770" i="1"/>
  <c r="E1770" i="1"/>
  <c r="H1770" i="1"/>
  <c r="I1770" i="1"/>
  <c r="A1337" i="1"/>
  <c r="B1337" i="1"/>
  <c r="E1337" i="1"/>
  <c r="H1337" i="1"/>
  <c r="I1337" i="1"/>
  <c r="A1746" i="1"/>
  <c r="B1746" i="1"/>
  <c r="E1746" i="1"/>
  <c r="H1746" i="1"/>
  <c r="I1746" i="1"/>
  <c r="A1501" i="1"/>
  <c r="B1501" i="1"/>
  <c r="E1501" i="1"/>
  <c r="H1501" i="1"/>
  <c r="I1501" i="1"/>
  <c r="A1502" i="1"/>
  <c r="B1502" i="1"/>
  <c r="E1502" i="1"/>
  <c r="H1502" i="1"/>
  <c r="I1502" i="1"/>
  <c r="A1511" i="1"/>
  <c r="B1511" i="1"/>
  <c r="E1511" i="1"/>
  <c r="H1511" i="1"/>
  <c r="I1511" i="1"/>
  <c r="A1512" i="1"/>
  <c r="B1512" i="1"/>
  <c r="E1512" i="1"/>
  <c r="H1512" i="1"/>
  <c r="I1512" i="1"/>
  <c r="A1505" i="1"/>
  <c r="B1505" i="1"/>
  <c r="E1505" i="1"/>
  <c r="H1505" i="1"/>
  <c r="I1505" i="1"/>
  <c r="A1506" i="1"/>
  <c r="B1506" i="1"/>
  <c r="E1506" i="1"/>
  <c r="H1506" i="1"/>
  <c r="I1506" i="1"/>
  <c r="A1533" i="1"/>
  <c r="B1533" i="1"/>
  <c r="E1533" i="1"/>
  <c r="H1533" i="1"/>
  <c r="I1533" i="1"/>
  <c r="A1534" i="1"/>
  <c r="B1534" i="1"/>
  <c r="E1534" i="1"/>
  <c r="H1534" i="1"/>
  <c r="I1534" i="1"/>
  <c r="A1507" i="1"/>
  <c r="B1507" i="1"/>
  <c r="E1507" i="1"/>
  <c r="H1507" i="1"/>
  <c r="I1507" i="1"/>
  <c r="A1508" i="1"/>
  <c r="B1508" i="1"/>
  <c r="E1508" i="1"/>
  <c r="H1508" i="1"/>
  <c r="I1508" i="1"/>
  <c r="A1535" i="1"/>
  <c r="B1535" i="1"/>
  <c r="E1535" i="1"/>
  <c r="H1535" i="1"/>
  <c r="I1535" i="1"/>
  <c r="A1536" i="1"/>
  <c r="B1536" i="1"/>
  <c r="E1536" i="1"/>
  <c r="H1536" i="1"/>
  <c r="I1536" i="1"/>
  <c r="A1521" i="1"/>
  <c r="B1521" i="1"/>
  <c r="E1521" i="1"/>
  <c r="H1521" i="1"/>
  <c r="I1521" i="1"/>
  <c r="A1522" i="1"/>
  <c r="B1522" i="1"/>
  <c r="E1522" i="1"/>
  <c r="H1522" i="1"/>
  <c r="I1522" i="1"/>
  <c r="A1529" i="1"/>
  <c r="B1529" i="1"/>
  <c r="E1529" i="1"/>
  <c r="H1529" i="1"/>
  <c r="I1529" i="1"/>
  <c r="A1530" i="1"/>
  <c r="B1530" i="1"/>
  <c r="E1530" i="1"/>
  <c r="H1530" i="1"/>
  <c r="I1530" i="1"/>
  <c r="A1489" i="1"/>
  <c r="B1489" i="1"/>
  <c r="E1489" i="1"/>
  <c r="H1489" i="1"/>
  <c r="I1489" i="1"/>
  <c r="A1490" i="1"/>
  <c r="B1490" i="1"/>
  <c r="E1490" i="1"/>
  <c r="H1490" i="1"/>
  <c r="I1490" i="1"/>
  <c r="A1481" i="1"/>
  <c r="B1481" i="1"/>
  <c r="E1481" i="1"/>
  <c r="H1481" i="1"/>
  <c r="I1481" i="1"/>
  <c r="A1482" i="1"/>
  <c r="B1482" i="1"/>
  <c r="E1482" i="1"/>
  <c r="H1482" i="1"/>
  <c r="I1482" i="1"/>
  <c r="A1495" i="1"/>
  <c r="B1495" i="1"/>
  <c r="E1495" i="1"/>
  <c r="H1495" i="1"/>
  <c r="I1495" i="1"/>
  <c r="A1496" i="1"/>
  <c r="B1496" i="1"/>
  <c r="E1496" i="1"/>
  <c r="H1496" i="1"/>
  <c r="I1496" i="1"/>
  <c r="A1503" i="1"/>
  <c r="B1503" i="1"/>
  <c r="E1503" i="1"/>
  <c r="H1503" i="1"/>
  <c r="I1503" i="1"/>
  <c r="A1504" i="1"/>
  <c r="B1504" i="1"/>
  <c r="E1504" i="1"/>
  <c r="H1504" i="1"/>
  <c r="I1504" i="1"/>
  <c r="A1491" i="1"/>
  <c r="B1491" i="1"/>
  <c r="E1491" i="1"/>
  <c r="H1491" i="1"/>
  <c r="I1491" i="1"/>
  <c r="A1492" i="1"/>
  <c r="B1492" i="1"/>
  <c r="E1492" i="1"/>
  <c r="H1492" i="1"/>
  <c r="I1492" i="1"/>
  <c r="A1509" i="1"/>
  <c r="B1509" i="1"/>
  <c r="E1509" i="1"/>
  <c r="H1509" i="1"/>
  <c r="I1509" i="1"/>
  <c r="A1510" i="1"/>
  <c r="B1510" i="1"/>
  <c r="E1510" i="1"/>
  <c r="H1510" i="1"/>
  <c r="I1510" i="1"/>
  <c r="A1493" i="1"/>
  <c r="B1493" i="1"/>
  <c r="E1493" i="1"/>
  <c r="H1493" i="1"/>
  <c r="I1493" i="1"/>
  <c r="A1494" i="1"/>
  <c r="B1494" i="1"/>
  <c r="E1494" i="1"/>
  <c r="H1494" i="1"/>
  <c r="I1494" i="1"/>
  <c r="A1525" i="1"/>
  <c r="B1525" i="1"/>
  <c r="E1525" i="1"/>
  <c r="H1525" i="1"/>
  <c r="I1525" i="1"/>
  <c r="A1526" i="1"/>
  <c r="B1526" i="1"/>
  <c r="E1526" i="1"/>
  <c r="H1526" i="1"/>
  <c r="I1526" i="1"/>
  <c r="A1483" i="1"/>
  <c r="B1483" i="1"/>
  <c r="E1483" i="1"/>
  <c r="H1483" i="1"/>
  <c r="I1483" i="1"/>
  <c r="A1484" i="1"/>
  <c r="B1484" i="1"/>
  <c r="E1484" i="1"/>
  <c r="H1484" i="1"/>
  <c r="I1484" i="1"/>
  <c r="A1519" i="1"/>
  <c r="B1519" i="1"/>
  <c r="E1519" i="1"/>
  <c r="H1519" i="1"/>
  <c r="I1519" i="1"/>
  <c r="A1520" i="1"/>
  <c r="B1520" i="1"/>
  <c r="E1520" i="1"/>
  <c r="H1520" i="1"/>
  <c r="I1520" i="1"/>
  <c r="A1497" i="1"/>
  <c r="B1497" i="1"/>
  <c r="E1497" i="1"/>
  <c r="H1497" i="1"/>
  <c r="I1497" i="1"/>
  <c r="A1498" i="1"/>
  <c r="B1498" i="1"/>
  <c r="E1498" i="1"/>
  <c r="H1498" i="1"/>
  <c r="I1498" i="1"/>
  <c r="A1499" i="1"/>
  <c r="B1499" i="1"/>
  <c r="E1499" i="1"/>
  <c r="H1499" i="1"/>
  <c r="I1499" i="1"/>
  <c r="A1500" i="1"/>
  <c r="B1500" i="1"/>
  <c r="E1500" i="1"/>
  <c r="H1500" i="1"/>
  <c r="I1500" i="1"/>
  <c r="A1527" i="1"/>
  <c r="B1527" i="1"/>
  <c r="E1527" i="1"/>
  <c r="H1527" i="1"/>
  <c r="I1527" i="1"/>
  <c r="A1528" i="1"/>
  <c r="B1528" i="1"/>
  <c r="E1528" i="1"/>
  <c r="H1528" i="1"/>
  <c r="I1528" i="1"/>
  <c r="A1517" i="1"/>
  <c r="B1517" i="1"/>
  <c r="E1517" i="1"/>
  <c r="H1517" i="1"/>
  <c r="I1517" i="1"/>
  <c r="A1518" i="1"/>
  <c r="B1518" i="1"/>
  <c r="E1518" i="1"/>
  <c r="H1518" i="1"/>
  <c r="I1518" i="1"/>
  <c r="A1531" i="1"/>
  <c r="B1531" i="1"/>
  <c r="E1531" i="1"/>
  <c r="H1531" i="1"/>
  <c r="I1531" i="1"/>
  <c r="A1532" i="1"/>
  <c r="B1532" i="1"/>
  <c r="E1532" i="1"/>
  <c r="H1532" i="1"/>
  <c r="I1532" i="1"/>
  <c r="A1523" i="1"/>
  <c r="B1523" i="1"/>
  <c r="E1523" i="1"/>
  <c r="H1523" i="1"/>
  <c r="I1523" i="1"/>
  <c r="A1524" i="1"/>
  <c r="B1524" i="1"/>
  <c r="E1524" i="1"/>
  <c r="H1524" i="1"/>
  <c r="I1524" i="1"/>
  <c r="A2423" i="1"/>
  <c r="B2423" i="1"/>
  <c r="E2423" i="1"/>
  <c r="H2423" i="1"/>
  <c r="I2423" i="1"/>
  <c r="A3043" i="1"/>
  <c r="B3043" i="1"/>
  <c r="E3043" i="1"/>
  <c r="H3043" i="1"/>
  <c r="I3043" i="1"/>
  <c r="A3034" i="1"/>
  <c r="B3034" i="1"/>
  <c r="E3034" i="1"/>
  <c r="H3034" i="1"/>
  <c r="I3034" i="1"/>
  <c r="A3446" i="1"/>
  <c r="B3446" i="1"/>
  <c r="E3446" i="1"/>
  <c r="H3446" i="1"/>
  <c r="I3446" i="1"/>
  <c r="A1788" i="1"/>
  <c r="B1788" i="1"/>
  <c r="E1788" i="1"/>
  <c r="H1788" i="1"/>
  <c r="I1788" i="1"/>
  <c r="A1794" i="1"/>
  <c r="B1794" i="1"/>
  <c r="E1794" i="1"/>
  <c r="H1794" i="1"/>
  <c r="I1794" i="1"/>
  <c r="A3559" i="1"/>
  <c r="B3559" i="1"/>
  <c r="E3559" i="1"/>
  <c r="H3559" i="1"/>
  <c r="I3559" i="1"/>
  <c r="A3568" i="1"/>
  <c r="B3568" i="1"/>
  <c r="E3568" i="1"/>
  <c r="H3568" i="1"/>
  <c r="I3568" i="1"/>
  <c r="A3563" i="1"/>
  <c r="B3563" i="1"/>
  <c r="E3563" i="1"/>
  <c r="H3563" i="1"/>
  <c r="I3563" i="1"/>
  <c r="A740" i="1"/>
  <c r="B740" i="1"/>
  <c r="E740" i="1"/>
  <c r="H740" i="1"/>
  <c r="I740" i="1"/>
  <c r="A742" i="1"/>
  <c r="B742" i="1"/>
  <c r="E742" i="1"/>
  <c r="H742" i="1"/>
  <c r="I742" i="1"/>
  <c r="A758" i="1"/>
  <c r="B758" i="1"/>
  <c r="E758" i="1"/>
  <c r="H758" i="1"/>
  <c r="I758" i="1"/>
  <c r="A782" i="1"/>
  <c r="B782" i="1"/>
  <c r="E782" i="1"/>
  <c r="H782" i="1"/>
  <c r="I782" i="1"/>
  <c r="A1796" i="1"/>
  <c r="B1796" i="1"/>
  <c r="E1796" i="1"/>
  <c r="H1796" i="1"/>
  <c r="I1796" i="1"/>
  <c r="A1771" i="1"/>
  <c r="B1771" i="1"/>
  <c r="E1771" i="1"/>
  <c r="H1771" i="1"/>
  <c r="I1771" i="1"/>
  <c r="A1777" i="1"/>
  <c r="B1777" i="1"/>
  <c r="E1777" i="1"/>
  <c r="H1777" i="1"/>
  <c r="I1777" i="1"/>
  <c r="A1803" i="1"/>
  <c r="B1803" i="1"/>
  <c r="E1803" i="1"/>
  <c r="H1803" i="1"/>
  <c r="I1803" i="1"/>
  <c r="A1579" i="1"/>
  <c r="B1579" i="1"/>
  <c r="E1579" i="1"/>
  <c r="H1579" i="1"/>
  <c r="I1579" i="1"/>
  <c r="A1580" i="1"/>
  <c r="B1580" i="1"/>
  <c r="E1580" i="1"/>
  <c r="H1580" i="1"/>
  <c r="I1580" i="1"/>
  <c r="A1581" i="1"/>
  <c r="B1581" i="1"/>
  <c r="E1581" i="1"/>
  <c r="H1581" i="1"/>
  <c r="I1581" i="1"/>
  <c r="A1582" i="1"/>
  <c r="B1582" i="1"/>
  <c r="E1582" i="1"/>
  <c r="H1582" i="1"/>
  <c r="I1582" i="1"/>
  <c r="A1583" i="1"/>
  <c r="B1583" i="1"/>
  <c r="E1583" i="1"/>
  <c r="H1583" i="1"/>
  <c r="I1583" i="1"/>
  <c r="A1584" i="1"/>
  <c r="B1584" i="1"/>
  <c r="E1584" i="1"/>
  <c r="H1584" i="1"/>
  <c r="I1584" i="1"/>
  <c r="A1585" i="1"/>
  <c r="B1585" i="1"/>
  <c r="E1585" i="1"/>
  <c r="H1585" i="1"/>
  <c r="I1585" i="1"/>
  <c r="A1586" i="1"/>
  <c r="B1586" i="1"/>
  <c r="E1586" i="1"/>
  <c r="H1586" i="1"/>
  <c r="I1586" i="1"/>
  <c r="A1587" i="1"/>
  <c r="B1587" i="1"/>
  <c r="E1587" i="1"/>
  <c r="H1587" i="1"/>
  <c r="I1587" i="1"/>
  <c r="A1588" i="1"/>
  <c r="B1588" i="1"/>
  <c r="E1588" i="1"/>
  <c r="H1588" i="1"/>
  <c r="I1588" i="1"/>
  <c r="A1589" i="1"/>
  <c r="B1589" i="1"/>
  <c r="E1589" i="1"/>
  <c r="H1589" i="1"/>
  <c r="I1589" i="1"/>
  <c r="A1590" i="1"/>
  <c r="B1590" i="1"/>
  <c r="E1590" i="1"/>
  <c r="H1590" i="1"/>
  <c r="I1590" i="1"/>
  <c r="A1591" i="1"/>
  <c r="B1591" i="1"/>
  <c r="E1591" i="1"/>
  <c r="H1591" i="1"/>
  <c r="I1591" i="1"/>
  <c r="A1608" i="1"/>
  <c r="B1608" i="1"/>
  <c r="E1608" i="1"/>
  <c r="H1608" i="1"/>
  <c r="I1608" i="1"/>
  <c r="A1609" i="1"/>
  <c r="B1609" i="1"/>
  <c r="E1609" i="1"/>
  <c r="H1609" i="1"/>
  <c r="I1609" i="1"/>
  <c r="A1610" i="1"/>
  <c r="B1610" i="1"/>
  <c r="E1610" i="1"/>
  <c r="H1610" i="1"/>
  <c r="I1610" i="1"/>
  <c r="A1605" i="1"/>
  <c r="B1605" i="1"/>
  <c r="E1605" i="1"/>
  <c r="H1605" i="1"/>
  <c r="I1605" i="1"/>
  <c r="A1618" i="1"/>
  <c r="B1618" i="1"/>
  <c r="E1618" i="1"/>
  <c r="H1618" i="1"/>
  <c r="I1618" i="1"/>
  <c r="A1619" i="1"/>
  <c r="B1619" i="1"/>
  <c r="E1619" i="1"/>
  <c r="H1619" i="1"/>
  <c r="I1619" i="1"/>
  <c r="A1559" i="1"/>
  <c r="B1559" i="1"/>
  <c r="E1559" i="1"/>
  <c r="H1559" i="1"/>
  <c r="I1559" i="1"/>
  <c r="A1560" i="1"/>
  <c r="B1560" i="1"/>
  <c r="E1560" i="1"/>
  <c r="H1560" i="1"/>
  <c r="I1560" i="1"/>
  <c r="A1561" i="1"/>
  <c r="B1561" i="1"/>
  <c r="E1561" i="1"/>
  <c r="H1561" i="1"/>
  <c r="I1561" i="1"/>
  <c r="A1562" i="1"/>
  <c r="B1562" i="1"/>
  <c r="E1562" i="1"/>
  <c r="H1562" i="1"/>
  <c r="I1562" i="1"/>
  <c r="A1592" i="1"/>
  <c r="B1592" i="1"/>
  <c r="E1592" i="1"/>
  <c r="H1592" i="1"/>
  <c r="I1592" i="1"/>
  <c r="A1593" i="1"/>
  <c r="B1593" i="1"/>
  <c r="E1593" i="1"/>
  <c r="H1593" i="1"/>
  <c r="I1593" i="1"/>
  <c r="A1620" i="1"/>
  <c r="B1620" i="1"/>
  <c r="E1620" i="1"/>
  <c r="H1620" i="1"/>
  <c r="I1620" i="1"/>
  <c r="A1621" i="1"/>
  <c r="B1621" i="1"/>
  <c r="E1621" i="1"/>
  <c r="H1621" i="1"/>
  <c r="I1621" i="1"/>
  <c r="A1594" i="1"/>
  <c r="B1594" i="1"/>
  <c r="E1594" i="1"/>
  <c r="H1594" i="1"/>
  <c r="I1594" i="1"/>
  <c r="A1595" i="1"/>
  <c r="B1595" i="1"/>
  <c r="E1595" i="1"/>
  <c r="H1595" i="1"/>
  <c r="I1595" i="1"/>
  <c r="A1567" i="1"/>
  <c r="B1567" i="1"/>
  <c r="E1567" i="1"/>
  <c r="H1567" i="1"/>
  <c r="I1567" i="1"/>
  <c r="A1568" i="1"/>
  <c r="B1568" i="1"/>
  <c r="E1568" i="1"/>
  <c r="H1568" i="1"/>
  <c r="I1568" i="1"/>
  <c r="A1599" i="1"/>
  <c r="B1599" i="1"/>
  <c r="E1599" i="1"/>
  <c r="H1599" i="1"/>
  <c r="I1599" i="1"/>
  <c r="A1600" i="1"/>
  <c r="B1600" i="1"/>
  <c r="E1600" i="1"/>
  <c r="H1600" i="1"/>
  <c r="I1600" i="1"/>
  <c r="A1601" i="1"/>
  <c r="B1601" i="1"/>
  <c r="E1601" i="1"/>
  <c r="H1601" i="1"/>
  <c r="I1601" i="1"/>
  <c r="A1602" i="1"/>
  <c r="B1602" i="1"/>
  <c r="E1602" i="1"/>
  <c r="H1602" i="1"/>
  <c r="I1602" i="1"/>
  <c r="A1575" i="1"/>
  <c r="B1575" i="1"/>
  <c r="E1575" i="1"/>
  <c r="H1575" i="1"/>
  <c r="I1575" i="1"/>
  <c r="A1576" i="1"/>
  <c r="B1576" i="1"/>
  <c r="E1576" i="1"/>
  <c r="H1576" i="1"/>
  <c r="I1576" i="1"/>
  <c r="A1596" i="1"/>
  <c r="B1596" i="1"/>
  <c r="E1596" i="1"/>
  <c r="H1596" i="1"/>
  <c r="I1596" i="1"/>
  <c r="A1573" i="1"/>
  <c r="B1573" i="1"/>
  <c r="E1573" i="1"/>
  <c r="H1573" i="1"/>
  <c r="I1573" i="1"/>
  <c r="A1574" i="1"/>
  <c r="B1574" i="1"/>
  <c r="E1574" i="1"/>
  <c r="H1574" i="1"/>
  <c r="I1574" i="1"/>
  <c r="A1577" i="1"/>
  <c r="B1577" i="1"/>
  <c r="E1577" i="1"/>
  <c r="H1577" i="1"/>
  <c r="I1577" i="1"/>
  <c r="A1578" i="1"/>
  <c r="B1578" i="1"/>
  <c r="E1578" i="1"/>
  <c r="H1578" i="1"/>
  <c r="I1578" i="1"/>
  <c r="A1603" i="1"/>
  <c r="B1603" i="1"/>
  <c r="E1603" i="1"/>
  <c r="H1603" i="1"/>
  <c r="I1603" i="1"/>
  <c r="A1604" i="1"/>
  <c r="B1604" i="1"/>
  <c r="E1604" i="1"/>
  <c r="H1604" i="1"/>
  <c r="I1604" i="1"/>
  <c r="A1597" i="1"/>
  <c r="B1597" i="1"/>
  <c r="E1597" i="1"/>
  <c r="H1597" i="1"/>
  <c r="I1597" i="1"/>
  <c r="A1598" i="1"/>
  <c r="B1598" i="1"/>
  <c r="E1598" i="1"/>
  <c r="H1598" i="1"/>
  <c r="I1598" i="1"/>
  <c r="A1611" i="1"/>
  <c r="B1611" i="1"/>
  <c r="E1611" i="1"/>
  <c r="H1611" i="1"/>
  <c r="I1611" i="1"/>
  <c r="A1612" i="1"/>
  <c r="B1612" i="1"/>
  <c r="E1612" i="1"/>
  <c r="H1612" i="1"/>
  <c r="I1612" i="1"/>
  <c r="A1613" i="1"/>
  <c r="B1613" i="1"/>
  <c r="E1613" i="1"/>
  <c r="H1613" i="1"/>
  <c r="I1613" i="1"/>
  <c r="A1616" i="1"/>
  <c r="B1616" i="1"/>
  <c r="E1616" i="1"/>
  <c r="H1616" i="1"/>
  <c r="I1616" i="1"/>
  <c r="A1617" i="1"/>
  <c r="B1617" i="1"/>
  <c r="E1617" i="1"/>
  <c r="H1617" i="1"/>
  <c r="I1617" i="1"/>
  <c r="A1569" i="1"/>
  <c r="B1569" i="1"/>
  <c r="E1569" i="1"/>
  <c r="H1569" i="1"/>
  <c r="I1569" i="1"/>
  <c r="A1570" i="1"/>
  <c r="B1570" i="1"/>
  <c r="E1570" i="1"/>
  <c r="H1570" i="1"/>
  <c r="I1570" i="1"/>
  <c r="A1606" i="1"/>
  <c r="B1606" i="1"/>
  <c r="E1606" i="1"/>
  <c r="H1606" i="1"/>
  <c r="I1606" i="1"/>
  <c r="A1607" i="1"/>
  <c r="B1607" i="1"/>
  <c r="E1607" i="1"/>
  <c r="H1607" i="1"/>
  <c r="I1607" i="1"/>
  <c r="A1571" i="1"/>
  <c r="B1571" i="1"/>
  <c r="E1571" i="1"/>
  <c r="H1571" i="1"/>
  <c r="I1571" i="1"/>
  <c r="A1572" i="1"/>
  <c r="B1572" i="1"/>
  <c r="E1572" i="1"/>
  <c r="H1572" i="1"/>
  <c r="I1572" i="1"/>
  <c r="A1563" i="1"/>
  <c r="B1563" i="1"/>
  <c r="E1563" i="1"/>
  <c r="H1563" i="1"/>
  <c r="I1563" i="1"/>
  <c r="A1564" i="1"/>
  <c r="B1564" i="1"/>
  <c r="E1564" i="1"/>
  <c r="H1564" i="1"/>
  <c r="I1564" i="1"/>
  <c r="A1565" i="1"/>
  <c r="B1565" i="1"/>
  <c r="E1565" i="1"/>
  <c r="H1565" i="1"/>
  <c r="I1565" i="1"/>
  <c r="A1566" i="1"/>
  <c r="B1566" i="1"/>
  <c r="E1566" i="1"/>
  <c r="H1566" i="1"/>
  <c r="I1566" i="1"/>
  <c r="A1614" i="1"/>
  <c r="B1614" i="1"/>
  <c r="E1614" i="1"/>
  <c r="H1614" i="1"/>
  <c r="I1614" i="1"/>
  <c r="A1615" i="1"/>
  <c r="B1615" i="1"/>
  <c r="E1615" i="1"/>
  <c r="H1615" i="1"/>
  <c r="I1615" i="1"/>
  <c r="A1624" i="1"/>
  <c r="B1624" i="1"/>
  <c r="E1624" i="1"/>
  <c r="H1624" i="1"/>
  <c r="I1624" i="1"/>
  <c r="A1625" i="1"/>
  <c r="B1625" i="1"/>
  <c r="E1625" i="1"/>
  <c r="H1625" i="1"/>
  <c r="I1625" i="1"/>
  <c r="A1626" i="1"/>
  <c r="B1626" i="1"/>
  <c r="E1626" i="1"/>
  <c r="H1626" i="1"/>
  <c r="I1626" i="1"/>
  <c r="A1622" i="1"/>
  <c r="B1622" i="1"/>
  <c r="E1622" i="1"/>
  <c r="H1622" i="1"/>
  <c r="I1622" i="1"/>
  <c r="A1623" i="1"/>
  <c r="B1623" i="1"/>
  <c r="E1623" i="1"/>
  <c r="H1623" i="1"/>
  <c r="I1623" i="1"/>
  <c r="A788" i="1"/>
  <c r="B788" i="1"/>
  <c r="E788" i="1"/>
  <c r="H788" i="1"/>
  <c r="I788" i="1"/>
  <c r="A456" i="1"/>
  <c r="B456" i="1"/>
  <c r="E456" i="1"/>
  <c r="H456" i="1"/>
  <c r="I456" i="1"/>
  <c r="A361" i="1"/>
  <c r="B361" i="1"/>
  <c r="E361" i="1"/>
  <c r="H361" i="1"/>
  <c r="I361" i="1"/>
  <c r="A338" i="1"/>
  <c r="B338" i="1"/>
  <c r="E338" i="1"/>
  <c r="H338" i="1"/>
  <c r="I338" i="1"/>
  <c r="A282" i="1"/>
  <c r="B282" i="1"/>
  <c r="E282" i="1"/>
  <c r="H282" i="1"/>
  <c r="I282" i="1"/>
  <c r="A356" i="1"/>
  <c r="B356" i="1"/>
  <c r="E356" i="1"/>
  <c r="H356" i="1"/>
  <c r="I356" i="1"/>
  <c r="A502" i="1"/>
  <c r="B502" i="1"/>
  <c r="E502" i="1"/>
  <c r="H502" i="1"/>
  <c r="I502" i="1"/>
  <c r="A731" i="1"/>
  <c r="B731" i="1"/>
  <c r="E731" i="1"/>
  <c r="H731" i="1"/>
  <c r="I731" i="1"/>
  <c r="A1086" i="1"/>
  <c r="B1086" i="1"/>
  <c r="E1086" i="1"/>
  <c r="H1086" i="1"/>
  <c r="I1086" i="1"/>
  <c r="A2210" i="1"/>
  <c r="B2210" i="1"/>
  <c r="E2210" i="1"/>
  <c r="H2210" i="1"/>
  <c r="I2210" i="1"/>
  <c r="A2180" i="1"/>
  <c r="B2180" i="1"/>
  <c r="E2180" i="1"/>
  <c r="H2180" i="1"/>
  <c r="I2180" i="1"/>
  <c r="A3331" i="1"/>
  <c r="B3331" i="1"/>
  <c r="E3331" i="1"/>
  <c r="H3331" i="1"/>
  <c r="I3331" i="1"/>
  <c r="A3332" i="1"/>
  <c r="B3332" i="1"/>
  <c r="E3332" i="1"/>
  <c r="H3332" i="1"/>
  <c r="I3332" i="1"/>
  <c r="A3323" i="1"/>
  <c r="B3323" i="1"/>
  <c r="E3323" i="1"/>
  <c r="H3323" i="1"/>
  <c r="I3323" i="1"/>
  <c r="A3324" i="1"/>
  <c r="B3324" i="1"/>
  <c r="E3324" i="1"/>
  <c r="H3324" i="1"/>
  <c r="I3324" i="1"/>
  <c r="A3342" i="1"/>
  <c r="B3342" i="1"/>
  <c r="E3342" i="1"/>
  <c r="H3342" i="1"/>
  <c r="I3342" i="1"/>
  <c r="A1364" i="1"/>
  <c r="B1364" i="1"/>
  <c r="E1364" i="1"/>
  <c r="H1364" i="1"/>
  <c r="I1364" i="1"/>
  <c r="A1325" i="1"/>
  <c r="B1325" i="1"/>
  <c r="E1325" i="1"/>
  <c r="H1325" i="1"/>
  <c r="I1325" i="1"/>
  <c r="A1358" i="1"/>
  <c r="B1358" i="1"/>
  <c r="E1358" i="1"/>
  <c r="H1358" i="1"/>
  <c r="I1358" i="1"/>
  <c r="A1387" i="1"/>
  <c r="B1387" i="1"/>
  <c r="E1387" i="1"/>
  <c r="H1387" i="1"/>
  <c r="I1387" i="1"/>
  <c r="A1338" i="1"/>
  <c r="B1338" i="1"/>
  <c r="E1338" i="1"/>
  <c r="H1338" i="1"/>
  <c r="I1338" i="1"/>
  <c r="A2420" i="1"/>
  <c r="B2420" i="1"/>
  <c r="E2420" i="1"/>
  <c r="H2420" i="1"/>
  <c r="I2420" i="1"/>
  <c r="A2448" i="1"/>
  <c r="B2448" i="1"/>
  <c r="E2448" i="1"/>
  <c r="H2448" i="1"/>
  <c r="I2448" i="1"/>
  <c r="A2623" i="1"/>
  <c r="B2623" i="1"/>
  <c r="E2623" i="1"/>
  <c r="H2623" i="1"/>
  <c r="I2623" i="1"/>
  <c r="A2652" i="1"/>
  <c r="B2652" i="1"/>
  <c r="E2652" i="1"/>
  <c r="H2652" i="1"/>
  <c r="I2652" i="1"/>
  <c r="A2624" i="1"/>
  <c r="B2624" i="1"/>
  <c r="E2624" i="1"/>
  <c r="H2624" i="1"/>
  <c r="I2624" i="1"/>
  <c r="A2772" i="1"/>
  <c r="B2772" i="1"/>
  <c r="E2772" i="1"/>
  <c r="H2772" i="1"/>
  <c r="I2772" i="1"/>
  <c r="A3344" i="1"/>
  <c r="B3344" i="1"/>
  <c r="E3344" i="1"/>
  <c r="H3344" i="1"/>
  <c r="I3344" i="1"/>
  <c r="A3345" i="1"/>
  <c r="B3345" i="1"/>
  <c r="E3345" i="1"/>
  <c r="H3345" i="1"/>
  <c r="I3345" i="1"/>
  <c r="A3333" i="1"/>
  <c r="B3333" i="1"/>
  <c r="E3333" i="1"/>
  <c r="H3333" i="1"/>
  <c r="I3333" i="1"/>
  <c r="A3325" i="1"/>
  <c r="B3325" i="1"/>
  <c r="E3325" i="1"/>
  <c r="H3325" i="1"/>
  <c r="I3325" i="1"/>
  <c r="A3343" i="1"/>
  <c r="B3343" i="1"/>
  <c r="E3343" i="1"/>
  <c r="H3343" i="1"/>
  <c r="I3343" i="1"/>
  <c r="A3334" i="1"/>
  <c r="B3334" i="1"/>
  <c r="E3334" i="1"/>
  <c r="H3334" i="1"/>
  <c r="I3334" i="1"/>
  <c r="A3335" i="1"/>
  <c r="B3335" i="1"/>
  <c r="E3335" i="1"/>
  <c r="H3335" i="1"/>
  <c r="I3335" i="1"/>
  <c r="A3326" i="1"/>
  <c r="B3326" i="1"/>
  <c r="E3326" i="1"/>
  <c r="H3326" i="1"/>
  <c r="I3326" i="1"/>
  <c r="A3336" i="1"/>
  <c r="B3336" i="1"/>
  <c r="E3336" i="1"/>
  <c r="H3336" i="1"/>
  <c r="I3336" i="1"/>
  <c r="A3337" i="1"/>
  <c r="B3337" i="1"/>
  <c r="E3337" i="1"/>
  <c r="H3337" i="1"/>
  <c r="I3337" i="1"/>
  <c r="A3340" i="1"/>
  <c r="B3340" i="1"/>
  <c r="E3340" i="1"/>
  <c r="H3340" i="1"/>
  <c r="I3340" i="1"/>
  <c r="A3341" i="1"/>
  <c r="B3341" i="1"/>
  <c r="E3341" i="1"/>
  <c r="H3341" i="1"/>
  <c r="I3341" i="1"/>
  <c r="A3327" i="1"/>
  <c r="B3327" i="1"/>
  <c r="E3327" i="1"/>
  <c r="H3327" i="1"/>
  <c r="I3327" i="1"/>
  <c r="A3328" i="1"/>
  <c r="B3328" i="1"/>
  <c r="E3328" i="1"/>
  <c r="H3328" i="1"/>
  <c r="I3328" i="1"/>
  <c r="A3329" i="1"/>
  <c r="B3329" i="1"/>
  <c r="E3329" i="1"/>
  <c r="H3329" i="1"/>
  <c r="I3329" i="1"/>
  <c r="A3330" i="1"/>
  <c r="B3330" i="1"/>
  <c r="E3330" i="1"/>
  <c r="H3330" i="1"/>
  <c r="I3330" i="1"/>
  <c r="A3338" i="1"/>
  <c r="B3338" i="1"/>
  <c r="E3338" i="1"/>
  <c r="H3338" i="1"/>
  <c r="I3338" i="1"/>
  <c r="A3339" i="1"/>
  <c r="B3339" i="1"/>
  <c r="E3339" i="1"/>
  <c r="H3339" i="1"/>
  <c r="I3339" i="1"/>
  <c r="A831" i="1"/>
  <c r="B831" i="1"/>
  <c r="E831" i="1"/>
  <c r="H831" i="1"/>
  <c r="I831" i="1"/>
  <c r="A832" i="1"/>
  <c r="B832" i="1"/>
  <c r="E832" i="1"/>
  <c r="H832" i="1"/>
  <c r="I832" i="1"/>
  <c r="A829" i="1"/>
  <c r="B829" i="1"/>
  <c r="E829" i="1"/>
  <c r="H829" i="1"/>
  <c r="I829" i="1"/>
  <c r="A830" i="1"/>
  <c r="B830" i="1"/>
  <c r="E830" i="1"/>
  <c r="H830" i="1"/>
  <c r="I830" i="1"/>
  <c r="A857" i="1"/>
  <c r="B857" i="1"/>
  <c r="E857" i="1"/>
  <c r="H857" i="1"/>
  <c r="I857" i="1"/>
  <c r="A858" i="1"/>
  <c r="B858" i="1"/>
  <c r="E858" i="1"/>
  <c r="H858" i="1"/>
  <c r="I858" i="1"/>
  <c r="A835" i="1"/>
  <c r="B835" i="1"/>
  <c r="E835" i="1"/>
  <c r="H835" i="1"/>
  <c r="I835" i="1"/>
  <c r="A836" i="1"/>
  <c r="B836" i="1"/>
  <c r="E836" i="1"/>
  <c r="H836" i="1"/>
  <c r="I836" i="1"/>
  <c r="A851" i="1"/>
  <c r="B851" i="1"/>
  <c r="E851" i="1"/>
  <c r="H851" i="1"/>
  <c r="I851" i="1"/>
  <c r="A852" i="1"/>
  <c r="B852" i="1"/>
  <c r="E852" i="1"/>
  <c r="H852" i="1"/>
  <c r="I852" i="1"/>
  <c r="A861" i="1"/>
  <c r="B861" i="1"/>
  <c r="E861" i="1"/>
  <c r="H861" i="1"/>
  <c r="I861" i="1"/>
  <c r="A862" i="1"/>
  <c r="B862" i="1"/>
  <c r="E862" i="1"/>
  <c r="H862" i="1"/>
  <c r="I862" i="1"/>
  <c r="A845" i="1"/>
  <c r="B845" i="1"/>
  <c r="E845" i="1"/>
  <c r="H845" i="1"/>
  <c r="I845" i="1"/>
  <c r="A846" i="1"/>
  <c r="B846" i="1"/>
  <c r="E846" i="1"/>
  <c r="H846" i="1"/>
  <c r="I846" i="1"/>
  <c r="A847" i="1"/>
  <c r="B847" i="1"/>
  <c r="E847" i="1"/>
  <c r="H847" i="1"/>
  <c r="I847" i="1"/>
  <c r="A848" i="1"/>
  <c r="B848" i="1"/>
  <c r="E848" i="1"/>
  <c r="H848" i="1"/>
  <c r="I848" i="1"/>
  <c r="A837" i="1"/>
  <c r="B837" i="1"/>
  <c r="E837" i="1"/>
  <c r="H837" i="1"/>
  <c r="I837" i="1"/>
  <c r="A838" i="1"/>
  <c r="B838" i="1"/>
  <c r="E838" i="1"/>
  <c r="H838" i="1"/>
  <c r="I838" i="1"/>
  <c r="A859" i="1"/>
  <c r="B859" i="1"/>
  <c r="E859" i="1"/>
  <c r="H859" i="1"/>
  <c r="I859" i="1"/>
  <c r="A860" i="1"/>
  <c r="B860" i="1"/>
  <c r="E860" i="1"/>
  <c r="H860" i="1"/>
  <c r="I860" i="1"/>
  <c r="A841" i="1"/>
  <c r="B841" i="1"/>
  <c r="E841" i="1"/>
  <c r="H841" i="1"/>
  <c r="I841" i="1"/>
  <c r="A842" i="1"/>
  <c r="B842" i="1"/>
  <c r="E842" i="1"/>
  <c r="H842" i="1"/>
  <c r="I842" i="1"/>
  <c r="A863" i="1"/>
  <c r="B863" i="1"/>
  <c r="E863" i="1"/>
  <c r="H863" i="1"/>
  <c r="I863" i="1"/>
  <c r="A864" i="1"/>
  <c r="B864" i="1"/>
  <c r="E864" i="1"/>
  <c r="H864" i="1"/>
  <c r="I864" i="1"/>
  <c r="A855" i="1"/>
  <c r="B855" i="1"/>
  <c r="E855" i="1"/>
  <c r="H855" i="1"/>
  <c r="I855" i="1"/>
  <c r="A856" i="1"/>
  <c r="B856" i="1"/>
  <c r="E856" i="1"/>
  <c r="H856" i="1"/>
  <c r="I856" i="1"/>
  <c r="A849" i="1"/>
  <c r="B849" i="1"/>
  <c r="E849" i="1"/>
  <c r="H849" i="1"/>
  <c r="I849" i="1"/>
  <c r="A850" i="1"/>
  <c r="B850" i="1"/>
  <c r="E850" i="1"/>
  <c r="H850" i="1"/>
  <c r="I850" i="1"/>
  <c r="A839" i="1"/>
  <c r="B839" i="1"/>
  <c r="E839" i="1"/>
  <c r="H839" i="1"/>
  <c r="I839" i="1"/>
  <c r="A840" i="1"/>
  <c r="B840" i="1"/>
  <c r="E840" i="1"/>
  <c r="H840" i="1"/>
  <c r="I840" i="1"/>
  <c r="A843" i="1"/>
  <c r="B843" i="1"/>
  <c r="E843" i="1"/>
  <c r="H843" i="1"/>
  <c r="I843" i="1"/>
  <c r="A844" i="1"/>
  <c r="B844" i="1"/>
  <c r="E844" i="1"/>
  <c r="H844" i="1"/>
  <c r="I844" i="1"/>
  <c r="A833" i="1"/>
  <c r="B833" i="1"/>
  <c r="E833" i="1"/>
  <c r="H833" i="1"/>
  <c r="I833" i="1"/>
  <c r="A834" i="1"/>
  <c r="B834" i="1"/>
  <c r="E834" i="1"/>
  <c r="H834" i="1"/>
  <c r="I834" i="1"/>
  <c r="A853" i="1"/>
  <c r="B853" i="1"/>
  <c r="E853" i="1"/>
  <c r="H853" i="1"/>
  <c r="I853" i="1"/>
  <c r="A854" i="1"/>
  <c r="B854" i="1"/>
  <c r="E854" i="1"/>
  <c r="H854" i="1"/>
  <c r="I854" i="1"/>
  <c r="A867" i="1"/>
  <c r="B867" i="1"/>
  <c r="E867" i="1"/>
  <c r="H867" i="1"/>
  <c r="I867" i="1"/>
  <c r="A868" i="1"/>
  <c r="B868" i="1"/>
  <c r="E868" i="1"/>
  <c r="H868" i="1"/>
  <c r="I868" i="1"/>
  <c r="A865" i="1"/>
  <c r="B865" i="1"/>
  <c r="E865" i="1"/>
  <c r="H865" i="1"/>
  <c r="I865" i="1"/>
  <c r="A866" i="1"/>
  <c r="B866" i="1"/>
  <c r="E866" i="1"/>
  <c r="H866" i="1"/>
  <c r="I866" i="1"/>
  <c r="A1906" i="1"/>
  <c r="B1906" i="1"/>
  <c r="E1906" i="1"/>
  <c r="H1906" i="1"/>
  <c r="I1906" i="1"/>
  <c r="A1932" i="1"/>
  <c r="B1932" i="1"/>
  <c r="E1932" i="1"/>
  <c r="H1932" i="1"/>
  <c r="I1932" i="1"/>
  <c r="A3452" i="1"/>
  <c r="B3452" i="1"/>
  <c r="E3452" i="1"/>
  <c r="H3452" i="1"/>
  <c r="I3452" i="1"/>
  <c r="A3419" i="1"/>
  <c r="B3419" i="1"/>
  <c r="E3419" i="1"/>
  <c r="H3419" i="1"/>
  <c r="I3419" i="1"/>
  <c r="A3436" i="1"/>
  <c r="B3436" i="1"/>
  <c r="E3436" i="1"/>
  <c r="H3436" i="1"/>
  <c r="I3436" i="1"/>
  <c r="A130" i="1"/>
  <c r="B130" i="1"/>
  <c r="E130" i="1"/>
  <c r="H130" i="1"/>
  <c r="I130" i="1"/>
  <c r="A1758" i="1"/>
  <c r="B1758" i="1"/>
  <c r="E1758" i="1"/>
  <c r="H1758" i="1"/>
  <c r="I1758" i="1"/>
  <c r="A1760" i="1"/>
  <c r="B1760" i="1"/>
  <c r="E1760" i="1"/>
  <c r="H1760" i="1"/>
  <c r="I1760" i="1"/>
  <c r="A1724" i="1"/>
  <c r="B1724" i="1"/>
  <c r="E1724" i="1"/>
  <c r="H1724" i="1"/>
  <c r="I1724" i="1"/>
  <c r="A3530" i="1"/>
  <c r="B3530" i="1"/>
  <c r="E3530" i="1"/>
  <c r="H3530" i="1"/>
  <c r="I3530" i="1"/>
  <c r="A3519" i="1"/>
  <c r="B3519" i="1"/>
  <c r="E3519" i="1"/>
  <c r="H3519" i="1"/>
  <c r="I3519" i="1"/>
  <c r="A3556" i="1"/>
  <c r="B3556" i="1"/>
  <c r="E3556" i="1"/>
  <c r="H3556" i="1"/>
  <c r="I3556" i="1"/>
  <c r="A452" i="1"/>
  <c r="B452" i="1"/>
  <c r="E452" i="1"/>
  <c r="H452" i="1"/>
  <c r="I452" i="1"/>
  <c r="A462" i="1"/>
  <c r="B462" i="1"/>
  <c r="E462" i="1"/>
  <c r="H462" i="1"/>
  <c r="I462" i="1"/>
  <c r="A2654" i="1"/>
  <c r="B2654" i="1"/>
  <c r="E2654" i="1"/>
  <c r="H2654" i="1"/>
  <c r="I2654" i="1"/>
  <c r="A2619" i="1"/>
  <c r="B2619" i="1"/>
  <c r="E2619" i="1"/>
  <c r="H2619" i="1"/>
  <c r="I2619" i="1"/>
  <c r="A2687" i="1"/>
  <c r="B2687" i="1"/>
  <c r="E2687" i="1"/>
  <c r="H2687" i="1"/>
  <c r="I2687" i="1"/>
  <c r="A2661" i="1"/>
  <c r="B2661" i="1"/>
  <c r="E2661" i="1"/>
  <c r="H2661" i="1"/>
  <c r="I2661" i="1"/>
  <c r="A2966" i="1"/>
  <c r="B2966" i="1"/>
  <c r="E2966" i="1"/>
  <c r="H2966" i="1"/>
  <c r="I2966" i="1"/>
  <c r="A2974" i="1"/>
  <c r="B2974" i="1"/>
  <c r="E2974" i="1"/>
  <c r="H2974" i="1"/>
  <c r="I2974" i="1"/>
  <c r="A2957" i="1"/>
  <c r="B2957" i="1"/>
  <c r="E2957" i="1"/>
  <c r="H2957" i="1"/>
  <c r="I2957" i="1"/>
  <c r="A2958" i="1"/>
  <c r="B2958" i="1"/>
  <c r="E2958" i="1"/>
  <c r="H2958" i="1"/>
  <c r="I2958" i="1"/>
  <c r="A2975" i="1"/>
  <c r="B2975" i="1"/>
  <c r="E2975" i="1"/>
  <c r="H2975" i="1"/>
  <c r="I2975" i="1"/>
  <c r="A2976" i="1"/>
  <c r="B2976" i="1"/>
  <c r="E2976" i="1"/>
  <c r="H2976" i="1"/>
  <c r="I2976" i="1"/>
  <c r="A2979" i="1"/>
  <c r="B2979" i="1"/>
  <c r="E2979" i="1"/>
  <c r="H2979" i="1"/>
  <c r="I2979" i="1"/>
  <c r="A2980" i="1"/>
  <c r="B2980" i="1"/>
  <c r="E2980" i="1"/>
  <c r="H2980" i="1"/>
  <c r="I2980" i="1"/>
  <c r="A2981" i="1"/>
  <c r="B2981" i="1"/>
  <c r="E2981" i="1"/>
  <c r="H2981" i="1"/>
  <c r="I2981" i="1"/>
  <c r="A2983" i="1"/>
  <c r="B2983" i="1"/>
  <c r="E2983" i="1"/>
  <c r="H2983" i="1"/>
  <c r="I2983" i="1"/>
  <c r="A2984" i="1"/>
  <c r="B2984" i="1"/>
  <c r="E2984" i="1"/>
  <c r="H2984" i="1"/>
  <c r="I2984" i="1"/>
  <c r="A2937" i="1"/>
  <c r="B2937" i="1"/>
  <c r="E2937" i="1"/>
  <c r="H2937" i="1"/>
  <c r="I2937" i="1"/>
  <c r="A2938" i="1"/>
  <c r="B2938" i="1"/>
  <c r="E2938" i="1"/>
  <c r="H2938" i="1"/>
  <c r="I2938" i="1"/>
  <c r="A2941" i="1"/>
  <c r="B2941" i="1"/>
  <c r="E2941" i="1"/>
  <c r="H2941" i="1"/>
  <c r="I2941" i="1"/>
  <c r="A2942" i="1"/>
  <c r="B2942" i="1"/>
  <c r="E2942" i="1"/>
  <c r="H2942" i="1"/>
  <c r="I2942" i="1"/>
  <c r="A2947" i="1"/>
  <c r="B2947" i="1"/>
  <c r="E2947" i="1"/>
  <c r="H2947" i="1"/>
  <c r="I2947" i="1"/>
  <c r="A2948" i="1"/>
  <c r="B2948" i="1"/>
  <c r="E2948" i="1"/>
  <c r="H2948" i="1"/>
  <c r="I2948" i="1"/>
  <c r="A2982" i="1"/>
  <c r="B2982" i="1"/>
  <c r="E2982" i="1"/>
  <c r="H2982" i="1"/>
  <c r="I2982" i="1"/>
  <c r="A2970" i="1"/>
  <c r="B2970" i="1"/>
  <c r="E2970" i="1"/>
  <c r="H2970" i="1"/>
  <c r="I2970" i="1"/>
  <c r="A2971" i="1"/>
  <c r="B2971" i="1"/>
  <c r="E2971" i="1"/>
  <c r="H2971" i="1"/>
  <c r="I2971" i="1"/>
  <c r="A2977" i="1"/>
  <c r="B2977" i="1"/>
  <c r="E2977" i="1"/>
  <c r="H2977" i="1"/>
  <c r="I2977" i="1"/>
  <c r="A2945" i="1"/>
  <c r="B2945" i="1"/>
  <c r="E2945" i="1"/>
  <c r="H2945" i="1"/>
  <c r="I2945" i="1"/>
  <c r="A2946" i="1"/>
  <c r="B2946" i="1"/>
  <c r="E2946" i="1"/>
  <c r="H2946" i="1"/>
  <c r="I2946" i="1"/>
  <c r="A2963" i="1"/>
  <c r="B2963" i="1"/>
  <c r="E2963" i="1"/>
  <c r="H2963" i="1"/>
  <c r="I2963" i="1"/>
  <c r="A2964" i="1"/>
  <c r="B2964" i="1"/>
  <c r="E2964" i="1"/>
  <c r="H2964" i="1"/>
  <c r="I2964" i="1"/>
  <c r="A2939" i="1"/>
  <c r="B2939" i="1"/>
  <c r="E2939" i="1"/>
  <c r="H2939" i="1"/>
  <c r="I2939" i="1"/>
  <c r="A2940" i="1"/>
  <c r="B2940" i="1"/>
  <c r="E2940" i="1"/>
  <c r="H2940" i="1"/>
  <c r="I2940" i="1"/>
  <c r="A2949" i="1"/>
  <c r="B2949" i="1"/>
  <c r="E2949" i="1"/>
  <c r="H2949" i="1"/>
  <c r="I2949" i="1"/>
  <c r="A2950" i="1"/>
  <c r="B2950" i="1"/>
  <c r="E2950" i="1"/>
  <c r="H2950" i="1"/>
  <c r="I2950" i="1"/>
  <c r="A2951" i="1"/>
  <c r="B2951" i="1"/>
  <c r="E2951" i="1"/>
  <c r="H2951" i="1"/>
  <c r="I2951" i="1"/>
  <c r="A2952" i="1"/>
  <c r="B2952" i="1"/>
  <c r="E2952" i="1"/>
  <c r="H2952" i="1"/>
  <c r="I2952" i="1"/>
  <c r="A2943" i="1"/>
  <c r="B2943" i="1"/>
  <c r="E2943" i="1"/>
  <c r="H2943" i="1"/>
  <c r="I2943" i="1"/>
  <c r="A2944" i="1"/>
  <c r="B2944" i="1"/>
  <c r="E2944" i="1"/>
  <c r="H2944" i="1"/>
  <c r="I2944" i="1"/>
  <c r="A2961" i="1"/>
  <c r="B2961" i="1"/>
  <c r="E2961" i="1"/>
  <c r="H2961" i="1"/>
  <c r="I2961" i="1"/>
  <c r="A2962" i="1"/>
  <c r="B2962" i="1"/>
  <c r="E2962" i="1"/>
  <c r="H2962" i="1"/>
  <c r="I2962" i="1"/>
  <c r="A2967" i="1"/>
  <c r="B2967" i="1"/>
  <c r="E2967" i="1"/>
  <c r="H2967" i="1"/>
  <c r="I2967" i="1"/>
  <c r="A2968" i="1"/>
  <c r="B2968" i="1"/>
  <c r="E2968" i="1"/>
  <c r="H2968" i="1"/>
  <c r="I2968" i="1"/>
  <c r="A2969" i="1"/>
  <c r="B2969" i="1"/>
  <c r="E2969" i="1"/>
  <c r="H2969" i="1"/>
  <c r="I2969" i="1"/>
  <c r="A2935" i="1"/>
  <c r="B2935" i="1"/>
  <c r="E2935" i="1"/>
  <c r="H2935" i="1"/>
  <c r="I2935" i="1"/>
  <c r="A2936" i="1"/>
  <c r="B2936" i="1"/>
  <c r="E2936" i="1"/>
  <c r="H2936" i="1"/>
  <c r="I2936" i="1"/>
  <c r="A2953" i="1"/>
  <c r="B2953" i="1"/>
  <c r="E2953" i="1"/>
  <c r="H2953" i="1"/>
  <c r="I2953" i="1"/>
  <c r="A2954" i="1"/>
  <c r="B2954" i="1"/>
  <c r="E2954" i="1"/>
  <c r="H2954" i="1"/>
  <c r="I2954" i="1"/>
  <c r="A2955" i="1"/>
  <c r="B2955" i="1"/>
  <c r="E2955" i="1"/>
  <c r="H2955" i="1"/>
  <c r="I2955" i="1"/>
  <c r="A2956" i="1"/>
  <c r="B2956" i="1"/>
  <c r="E2956" i="1"/>
  <c r="H2956" i="1"/>
  <c r="I2956" i="1"/>
  <c r="A539" i="1"/>
  <c r="B539" i="1"/>
  <c r="E539" i="1"/>
  <c r="H539" i="1"/>
  <c r="I539" i="1"/>
  <c r="A1942" i="1"/>
  <c r="B1942" i="1"/>
  <c r="E1942" i="1"/>
  <c r="H1942" i="1"/>
  <c r="I1942" i="1"/>
  <c r="A1951" i="1"/>
  <c r="B1951" i="1"/>
  <c r="E1951" i="1"/>
  <c r="H1951" i="1"/>
  <c r="I1951" i="1"/>
  <c r="A79" i="1"/>
  <c r="B79" i="1"/>
  <c r="E79" i="1"/>
  <c r="H79" i="1"/>
  <c r="I79" i="1"/>
  <c r="A99" i="1"/>
  <c r="B99" i="1"/>
  <c r="E99" i="1"/>
  <c r="H99" i="1"/>
  <c r="I99" i="1"/>
  <c r="A707" i="1"/>
  <c r="B707" i="1"/>
  <c r="E707" i="1"/>
  <c r="H707" i="1"/>
  <c r="I707" i="1"/>
  <c r="A702" i="1"/>
  <c r="B702" i="1"/>
  <c r="E702" i="1"/>
  <c r="H702" i="1"/>
  <c r="I702" i="1"/>
  <c r="A1070" i="1"/>
  <c r="B1070" i="1"/>
  <c r="E1070" i="1"/>
  <c r="H1070" i="1"/>
  <c r="I1070" i="1"/>
  <c r="A1114" i="1"/>
  <c r="B1114" i="1"/>
  <c r="E1114" i="1"/>
  <c r="H1114" i="1"/>
  <c r="I1114" i="1"/>
  <c r="A1701" i="1"/>
  <c r="B1701" i="1"/>
  <c r="E1701" i="1"/>
  <c r="H1701" i="1"/>
  <c r="I1701" i="1"/>
  <c r="A1899" i="1"/>
  <c r="B1899" i="1"/>
  <c r="E1899" i="1"/>
  <c r="H1899" i="1"/>
  <c r="I1899" i="1"/>
  <c r="A2106" i="1"/>
  <c r="B2106" i="1"/>
  <c r="E2106" i="1"/>
  <c r="H2106" i="1"/>
  <c r="I2106" i="1"/>
  <c r="A2196" i="1"/>
  <c r="B2196" i="1"/>
  <c r="E2196" i="1"/>
  <c r="H2196" i="1"/>
  <c r="I2196" i="1"/>
  <c r="A2233" i="1"/>
  <c r="B2233" i="1"/>
  <c r="E2233" i="1"/>
  <c r="H2233" i="1"/>
  <c r="I2233" i="1"/>
  <c r="A2493" i="1"/>
  <c r="B2493" i="1"/>
  <c r="E2493" i="1"/>
  <c r="H2493" i="1"/>
  <c r="I2493" i="1"/>
  <c r="A2730" i="1"/>
  <c r="B2730" i="1"/>
  <c r="E2730" i="1"/>
  <c r="H2730" i="1"/>
  <c r="I2730" i="1"/>
  <c r="A2752" i="1"/>
  <c r="B2752" i="1"/>
  <c r="E2752" i="1"/>
  <c r="H2752" i="1"/>
  <c r="I2752" i="1"/>
  <c r="A2754" i="1"/>
  <c r="B2754" i="1"/>
  <c r="E2754" i="1"/>
  <c r="H2754" i="1"/>
  <c r="I2754" i="1"/>
  <c r="A3091" i="1"/>
  <c r="B3091" i="1"/>
  <c r="E3091" i="1"/>
  <c r="H3091" i="1"/>
  <c r="I3091" i="1"/>
  <c r="A3128" i="1"/>
  <c r="B3128" i="1"/>
  <c r="E3128" i="1"/>
  <c r="H3128" i="1"/>
  <c r="I3128" i="1"/>
  <c r="A3457" i="1"/>
  <c r="B3457" i="1"/>
  <c r="E3457" i="1"/>
  <c r="H3457" i="1"/>
  <c r="I3457" i="1"/>
  <c r="A1374" i="1"/>
  <c r="B1374" i="1"/>
  <c r="E1374" i="1"/>
  <c r="H1374" i="1"/>
  <c r="I1374" i="1"/>
  <c r="A1345" i="1"/>
  <c r="B1345" i="1"/>
  <c r="E1345" i="1"/>
  <c r="H1345" i="1"/>
  <c r="I1345" i="1"/>
  <c r="A1354" i="1"/>
  <c r="B1354" i="1"/>
  <c r="E1354" i="1"/>
  <c r="H1354" i="1"/>
  <c r="I1354" i="1"/>
  <c r="A1326" i="1"/>
  <c r="B1326" i="1"/>
  <c r="E1326" i="1"/>
  <c r="H1326" i="1"/>
  <c r="I1326" i="1"/>
  <c r="A1348" i="1"/>
  <c r="B1348" i="1"/>
  <c r="E1348" i="1"/>
  <c r="H1348" i="1"/>
  <c r="I1348" i="1"/>
  <c r="A2446" i="1"/>
  <c r="B2446" i="1"/>
  <c r="E2446" i="1"/>
  <c r="H2446" i="1"/>
  <c r="I2446" i="1"/>
  <c r="A2452" i="1"/>
  <c r="B2452" i="1"/>
  <c r="E2452" i="1"/>
  <c r="H2452" i="1"/>
  <c r="I2452" i="1"/>
  <c r="A2662" i="1"/>
  <c r="B2662" i="1"/>
  <c r="E2662" i="1"/>
  <c r="H2662" i="1"/>
  <c r="I2662" i="1"/>
  <c r="A2632" i="1"/>
  <c r="B2632" i="1"/>
  <c r="E2632" i="1"/>
  <c r="H2632" i="1"/>
  <c r="I2632" i="1"/>
  <c r="A2640" i="1"/>
  <c r="B2640" i="1"/>
  <c r="E2640" i="1"/>
  <c r="H2640" i="1"/>
  <c r="I2640" i="1"/>
  <c r="A2670" i="1"/>
  <c r="B2670" i="1"/>
  <c r="E2670" i="1"/>
  <c r="H2670" i="1"/>
  <c r="I2670" i="1"/>
  <c r="A2777" i="1"/>
  <c r="B2777" i="1"/>
  <c r="E2777" i="1"/>
  <c r="H2777" i="1"/>
  <c r="I2777" i="1"/>
  <c r="A426" i="1"/>
  <c r="B426" i="1"/>
  <c r="E426" i="1"/>
  <c r="H426" i="1"/>
  <c r="I426" i="1"/>
  <c r="A1893" i="1"/>
  <c r="B1893" i="1"/>
  <c r="E1893" i="1"/>
  <c r="H1893" i="1"/>
  <c r="I1893" i="1"/>
  <c r="A2457" i="1"/>
  <c r="B2457" i="1"/>
  <c r="E2457" i="1"/>
  <c r="H2457" i="1"/>
  <c r="I2457" i="1"/>
  <c r="A2483" i="1"/>
  <c r="B2483" i="1"/>
  <c r="E2483" i="1"/>
  <c r="H2483" i="1"/>
  <c r="I2483" i="1"/>
  <c r="A305" i="1"/>
  <c r="B305" i="1"/>
  <c r="E305" i="1"/>
  <c r="H305" i="1"/>
  <c r="I305" i="1"/>
  <c r="A283" i="1"/>
  <c r="B283" i="1"/>
  <c r="E283" i="1"/>
  <c r="H283" i="1"/>
  <c r="I283" i="1"/>
  <c r="A318" i="1"/>
  <c r="B318" i="1"/>
  <c r="E318" i="1"/>
  <c r="H318" i="1"/>
  <c r="I318" i="1"/>
  <c r="A322" i="1"/>
  <c r="B322" i="1"/>
  <c r="E322" i="1"/>
  <c r="H322" i="1"/>
  <c r="I322" i="1"/>
  <c r="A306" i="1"/>
  <c r="B306" i="1"/>
  <c r="E306" i="1"/>
  <c r="H306" i="1"/>
  <c r="I306" i="1"/>
  <c r="A363" i="1"/>
  <c r="B363" i="1"/>
  <c r="E363" i="1"/>
  <c r="H363" i="1"/>
  <c r="I363" i="1"/>
  <c r="A506" i="1"/>
  <c r="B506" i="1"/>
  <c r="E506" i="1"/>
  <c r="H506" i="1"/>
  <c r="I506" i="1"/>
  <c r="A732" i="1"/>
  <c r="B732" i="1"/>
  <c r="E732" i="1"/>
  <c r="H732" i="1"/>
  <c r="I732" i="1"/>
  <c r="A262" i="1"/>
  <c r="B262" i="1"/>
  <c r="E262" i="1"/>
  <c r="H262" i="1"/>
  <c r="I262" i="1"/>
  <c r="A2342" i="1"/>
  <c r="B2342" i="1"/>
  <c r="E2342" i="1"/>
  <c r="H2342" i="1"/>
  <c r="I2342" i="1"/>
  <c r="A2343" i="1"/>
  <c r="B2343" i="1"/>
  <c r="E2343" i="1"/>
  <c r="H2343" i="1"/>
  <c r="I2343" i="1"/>
  <c r="A2368" i="1"/>
  <c r="B2368" i="1"/>
  <c r="E2368" i="1"/>
  <c r="H2368" i="1"/>
  <c r="I2368" i="1"/>
  <c r="A2369" i="1"/>
  <c r="B2369" i="1"/>
  <c r="E2369" i="1"/>
  <c r="H2369" i="1"/>
  <c r="I2369" i="1"/>
  <c r="A2340" i="1"/>
  <c r="B2340" i="1"/>
  <c r="E2340" i="1"/>
  <c r="H2340" i="1"/>
  <c r="I2340" i="1"/>
  <c r="A2341" i="1"/>
  <c r="B2341" i="1"/>
  <c r="E2341" i="1"/>
  <c r="H2341" i="1"/>
  <c r="I2341" i="1"/>
  <c r="A2413" i="1"/>
  <c r="B2413" i="1"/>
  <c r="E2413" i="1"/>
  <c r="H2413" i="1"/>
  <c r="I2413" i="1"/>
  <c r="A2414" i="1"/>
  <c r="B2414" i="1"/>
  <c r="E2414" i="1"/>
  <c r="H2414" i="1"/>
  <c r="I2414" i="1"/>
  <c r="A2359" i="1"/>
  <c r="B2359" i="1"/>
  <c r="E2359" i="1"/>
  <c r="H2359" i="1"/>
  <c r="I2359" i="1"/>
  <c r="A2360" i="1"/>
  <c r="B2360" i="1"/>
  <c r="E2360" i="1"/>
  <c r="H2360" i="1"/>
  <c r="I2360" i="1"/>
  <c r="A2338" i="1"/>
  <c r="B2338" i="1"/>
  <c r="E2338" i="1"/>
  <c r="H2338" i="1"/>
  <c r="I2338" i="1"/>
  <c r="A2339" i="1"/>
  <c r="B2339" i="1"/>
  <c r="E2339" i="1"/>
  <c r="H2339" i="1"/>
  <c r="I2339" i="1"/>
  <c r="A2358" i="1"/>
  <c r="B2358" i="1"/>
  <c r="E2358" i="1"/>
  <c r="H2358" i="1"/>
  <c r="I2358" i="1"/>
  <c r="A2364" i="1"/>
  <c r="B2364" i="1"/>
  <c r="E2364" i="1"/>
  <c r="H2364" i="1"/>
  <c r="I2364" i="1"/>
  <c r="A2365" i="1"/>
  <c r="B2365" i="1"/>
  <c r="E2365" i="1"/>
  <c r="H2365" i="1"/>
  <c r="I2365" i="1"/>
  <c r="A2334" i="1"/>
  <c r="B2334" i="1"/>
  <c r="E2334" i="1"/>
  <c r="H2334" i="1"/>
  <c r="I2334" i="1"/>
  <c r="A2335" i="1"/>
  <c r="B2335" i="1"/>
  <c r="E2335" i="1"/>
  <c r="H2335" i="1"/>
  <c r="I2335" i="1"/>
  <c r="A2381" i="1"/>
  <c r="B2381" i="1"/>
  <c r="E2381" i="1"/>
  <c r="H2381" i="1"/>
  <c r="I2381" i="1"/>
  <c r="A2379" i="1"/>
  <c r="B2379" i="1"/>
  <c r="E2379" i="1"/>
  <c r="H2379" i="1"/>
  <c r="I2379" i="1"/>
  <c r="A2380" i="1"/>
  <c r="B2380" i="1"/>
  <c r="E2380" i="1"/>
  <c r="H2380" i="1"/>
  <c r="I2380" i="1"/>
  <c r="A2406" i="1"/>
  <c r="B2406" i="1"/>
  <c r="E2406" i="1"/>
  <c r="H2406" i="1"/>
  <c r="I2406" i="1"/>
  <c r="A2407" i="1"/>
  <c r="B2407" i="1"/>
  <c r="E2407" i="1"/>
  <c r="H2407" i="1"/>
  <c r="I2407" i="1"/>
  <c r="A2399" i="1"/>
  <c r="B2399" i="1"/>
  <c r="E2399" i="1"/>
  <c r="H2399" i="1"/>
  <c r="I2399" i="1"/>
  <c r="A2400" i="1"/>
  <c r="B2400" i="1"/>
  <c r="E2400" i="1"/>
  <c r="H2400" i="1"/>
  <c r="I2400" i="1"/>
  <c r="A2362" i="1"/>
  <c r="B2362" i="1"/>
  <c r="E2362" i="1"/>
  <c r="H2362" i="1"/>
  <c r="I2362" i="1"/>
  <c r="A2363" i="1"/>
  <c r="B2363" i="1"/>
  <c r="E2363" i="1"/>
  <c r="H2363" i="1"/>
  <c r="I2363" i="1"/>
  <c r="A2415" i="1"/>
  <c r="B2415" i="1"/>
  <c r="E2415" i="1"/>
  <c r="H2415" i="1"/>
  <c r="I2415" i="1"/>
  <c r="A2344" i="1"/>
  <c r="B2344" i="1"/>
  <c r="E2344" i="1"/>
  <c r="H2344" i="1"/>
  <c r="I2344" i="1"/>
  <c r="A2411" i="1"/>
  <c r="B2411" i="1"/>
  <c r="E2411" i="1"/>
  <c r="H2411" i="1"/>
  <c r="I2411" i="1"/>
  <c r="A2412" i="1"/>
  <c r="B2412" i="1"/>
  <c r="E2412" i="1"/>
  <c r="H2412" i="1"/>
  <c r="I2412" i="1"/>
  <c r="A2404" i="1"/>
  <c r="B2404" i="1"/>
  <c r="E2404" i="1"/>
  <c r="H2404" i="1"/>
  <c r="I2404" i="1"/>
  <c r="A2351" i="1"/>
  <c r="B2351" i="1"/>
  <c r="E2351" i="1"/>
  <c r="H2351" i="1"/>
  <c r="I2351" i="1"/>
  <c r="A2352" i="1"/>
  <c r="B2352" i="1"/>
  <c r="E2352" i="1"/>
  <c r="H2352" i="1"/>
  <c r="I2352" i="1"/>
  <c r="A2336" i="1"/>
  <c r="B2336" i="1"/>
  <c r="E2336" i="1"/>
  <c r="H2336" i="1"/>
  <c r="I2336" i="1"/>
  <c r="A2337" i="1"/>
  <c r="B2337" i="1"/>
  <c r="E2337" i="1"/>
  <c r="H2337" i="1"/>
  <c r="I2337" i="1"/>
  <c r="A2356" i="1"/>
  <c r="B2356" i="1"/>
  <c r="E2356" i="1"/>
  <c r="H2356" i="1"/>
  <c r="I2356" i="1"/>
  <c r="A2357" i="1"/>
  <c r="B2357" i="1"/>
  <c r="E2357" i="1"/>
  <c r="H2357" i="1"/>
  <c r="I2357" i="1"/>
  <c r="A2383" i="1"/>
  <c r="B2383" i="1"/>
  <c r="E2383" i="1"/>
  <c r="H2383" i="1"/>
  <c r="I2383" i="1"/>
  <c r="A2345" i="1"/>
  <c r="B2345" i="1"/>
  <c r="E2345" i="1"/>
  <c r="H2345" i="1"/>
  <c r="I2345" i="1"/>
  <c r="A2346" i="1"/>
  <c r="B2346" i="1"/>
  <c r="E2346" i="1"/>
  <c r="H2346" i="1"/>
  <c r="I2346" i="1"/>
  <c r="A2403" i="1"/>
  <c r="B2403" i="1"/>
  <c r="E2403" i="1"/>
  <c r="H2403" i="1"/>
  <c r="I2403" i="1"/>
  <c r="A2391" i="1"/>
  <c r="B2391" i="1"/>
  <c r="E2391" i="1"/>
  <c r="H2391" i="1"/>
  <c r="I2391" i="1"/>
  <c r="A2373" i="1"/>
  <c r="B2373" i="1"/>
  <c r="E2373" i="1"/>
  <c r="H2373" i="1"/>
  <c r="I2373" i="1"/>
  <c r="A709" i="1"/>
  <c r="B709" i="1"/>
  <c r="E709" i="1"/>
  <c r="H709" i="1"/>
  <c r="I709" i="1"/>
  <c r="A790" i="1"/>
  <c r="B790" i="1"/>
  <c r="E790" i="1"/>
  <c r="H790" i="1"/>
  <c r="I790" i="1"/>
  <c r="A738" i="1"/>
  <c r="B738" i="1"/>
  <c r="E738" i="1"/>
  <c r="H738" i="1"/>
  <c r="I738" i="1"/>
  <c r="A1175" i="1"/>
  <c r="B1175" i="1"/>
  <c r="E1175" i="1"/>
  <c r="H1175" i="1"/>
  <c r="I1175" i="1"/>
  <c r="A1172" i="1"/>
  <c r="B1172" i="1"/>
  <c r="E1172" i="1"/>
  <c r="H1172" i="1"/>
  <c r="I1172" i="1"/>
  <c r="A1198" i="1"/>
  <c r="B1198" i="1"/>
  <c r="E1198" i="1"/>
  <c r="H1198" i="1"/>
  <c r="I1198" i="1"/>
  <c r="A2929" i="1"/>
  <c r="B2929" i="1"/>
  <c r="E2929" i="1"/>
  <c r="H2929" i="1"/>
  <c r="I2929" i="1"/>
  <c r="A2889" i="1"/>
  <c r="B2889" i="1"/>
  <c r="E2889" i="1"/>
  <c r="H2889" i="1"/>
  <c r="I2889" i="1"/>
  <c r="A2890" i="1"/>
  <c r="B2890" i="1"/>
  <c r="E2890" i="1"/>
  <c r="H2890" i="1"/>
  <c r="I2890" i="1"/>
  <c r="A2901" i="1"/>
  <c r="B2901" i="1"/>
  <c r="E2901" i="1"/>
  <c r="H2901" i="1"/>
  <c r="I2901" i="1"/>
  <c r="A2902" i="1"/>
  <c r="B2902" i="1"/>
  <c r="E2902" i="1"/>
  <c r="H2902" i="1"/>
  <c r="I2902" i="1"/>
  <c r="A1402" i="1"/>
  <c r="B1402" i="1"/>
  <c r="E1402" i="1"/>
  <c r="H1402" i="1"/>
  <c r="I1402" i="1"/>
  <c r="A1339" i="1"/>
  <c r="B1339" i="1"/>
  <c r="E1339" i="1"/>
  <c r="H1339" i="1"/>
  <c r="I1339" i="1"/>
  <c r="A1360" i="1"/>
  <c r="B1360" i="1"/>
  <c r="E1360" i="1"/>
  <c r="H1360" i="1"/>
  <c r="I1360" i="1"/>
  <c r="A1408" i="1"/>
  <c r="B1408" i="1"/>
  <c r="E1408" i="1"/>
  <c r="H1408" i="1"/>
  <c r="I1408" i="1"/>
  <c r="A1383" i="1"/>
  <c r="B1383" i="1"/>
  <c r="E1383" i="1"/>
  <c r="H1383" i="1"/>
  <c r="I1383" i="1"/>
  <c r="A2434" i="1"/>
  <c r="B2434" i="1"/>
  <c r="E2434" i="1"/>
  <c r="H2434" i="1"/>
  <c r="I2434" i="1"/>
  <c r="A2625" i="1"/>
  <c r="B2625" i="1"/>
  <c r="E2625" i="1"/>
  <c r="H2625" i="1"/>
  <c r="I2625" i="1"/>
  <c r="A2657" i="1"/>
  <c r="B2657" i="1"/>
  <c r="E2657" i="1"/>
  <c r="H2657" i="1"/>
  <c r="I2657" i="1"/>
  <c r="A2668" i="1"/>
  <c r="B2668" i="1"/>
  <c r="E2668" i="1"/>
  <c r="H2668" i="1"/>
  <c r="I2668" i="1"/>
  <c r="A2783" i="1"/>
  <c r="B2783" i="1"/>
  <c r="E2783" i="1"/>
  <c r="H2783" i="1"/>
  <c r="I2783" i="1"/>
  <c r="A2326" i="1"/>
  <c r="B2326" i="1"/>
  <c r="E2326" i="1"/>
  <c r="H2326" i="1"/>
  <c r="I2326" i="1"/>
  <c r="A2322" i="1"/>
  <c r="B2322" i="1"/>
  <c r="E2322" i="1"/>
  <c r="H2322" i="1"/>
  <c r="I2322" i="1"/>
  <c r="A3351" i="1"/>
  <c r="B3351" i="1"/>
  <c r="E3351" i="1"/>
  <c r="H3351" i="1"/>
  <c r="I3351" i="1"/>
  <c r="A3356" i="1"/>
  <c r="B3356" i="1"/>
  <c r="E3356" i="1"/>
  <c r="H3356" i="1"/>
  <c r="I3356" i="1"/>
  <c r="A3349" i="1"/>
  <c r="B3349" i="1"/>
  <c r="E3349" i="1"/>
  <c r="H3349" i="1"/>
  <c r="I3349" i="1"/>
  <c r="A3378" i="1"/>
  <c r="B3378" i="1"/>
  <c r="E3378" i="1"/>
  <c r="H3378" i="1"/>
  <c r="I3378" i="1"/>
  <c r="A3358" i="1"/>
  <c r="B3358" i="1"/>
  <c r="E3358" i="1"/>
  <c r="H3358" i="1"/>
  <c r="I3358" i="1"/>
  <c r="A3380" i="1"/>
  <c r="B3380" i="1"/>
  <c r="E3380" i="1"/>
  <c r="H3380" i="1"/>
  <c r="I3380" i="1"/>
  <c r="A3366" i="1"/>
  <c r="B3366" i="1"/>
  <c r="E3366" i="1"/>
  <c r="H3366" i="1"/>
  <c r="I3366" i="1"/>
  <c r="A3384" i="1"/>
  <c r="B3384" i="1"/>
  <c r="E3384" i="1"/>
  <c r="H3384" i="1"/>
  <c r="I3384" i="1"/>
  <c r="A3353" i="1"/>
  <c r="B3353" i="1"/>
  <c r="E3353" i="1"/>
  <c r="H3353" i="1"/>
  <c r="I3353" i="1"/>
  <c r="A81" i="1"/>
  <c r="B81" i="1"/>
  <c r="E81" i="1"/>
  <c r="H81" i="1"/>
  <c r="I81" i="1"/>
  <c r="A552" i="1"/>
  <c r="B552" i="1"/>
  <c r="E552" i="1"/>
  <c r="H552" i="1"/>
  <c r="I552" i="1"/>
  <c r="A554" i="1"/>
  <c r="B554" i="1"/>
  <c r="E554" i="1"/>
  <c r="H554" i="1"/>
  <c r="I554" i="1"/>
  <c r="A1098" i="1"/>
  <c r="B1098" i="1"/>
  <c r="E1098" i="1"/>
  <c r="H1098" i="1"/>
  <c r="I1098" i="1"/>
  <c r="A1106" i="1"/>
  <c r="B1106" i="1"/>
  <c r="E1106" i="1"/>
  <c r="H1106" i="1"/>
  <c r="I1106" i="1"/>
  <c r="A1004" i="1"/>
  <c r="B1004" i="1"/>
  <c r="E1004" i="1"/>
  <c r="H1004" i="1"/>
  <c r="I1004" i="1"/>
  <c r="A1074" i="1"/>
  <c r="B1074" i="1"/>
  <c r="E1074" i="1"/>
  <c r="H1074" i="1"/>
  <c r="I1074" i="1"/>
  <c r="A1699" i="1"/>
  <c r="B1699" i="1"/>
  <c r="E1699" i="1"/>
  <c r="H1699" i="1"/>
  <c r="I1699" i="1"/>
  <c r="A2186" i="1"/>
  <c r="B2186" i="1"/>
  <c r="E2186" i="1"/>
  <c r="H2186" i="1"/>
  <c r="I2186" i="1"/>
  <c r="A2201" i="1"/>
  <c r="B2201" i="1"/>
  <c r="E2201" i="1"/>
  <c r="H2201" i="1"/>
  <c r="I2201" i="1"/>
  <c r="A2103" i="1"/>
  <c r="B2103" i="1"/>
  <c r="E2103" i="1"/>
  <c r="H2103" i="1"/>
  <c r="I2103" i="1"/>
  <c r="A2163" i="1"/>
  <c r="B2163" i="1"/>
  <c r="E2163" i="1"/>
  <c r="H2163" i="1"/>
  <c r="I2163" i="1"/>
  <c r="A2164" i="1"/>
  <c r="B2164" i="1"/>
  <c r="E2164" i="1"/>
  <c r="H2164" i="1"/>
  <c r="I2164" i="1"/>
  <c r="A2226" i="1"/>
  <c r="B2226" i="1"/>
  <c r="E2226" i="1"/>
  <c r="H2226" i="1"/>
  <c r="I2226" i="1"/>
  <c r="A2722" i="1"/>
  <c r="B2722" i="1"/>
  <c r="E2722" i="1"/>
  <c r="H2722" i="1"/>
  <c r="I2722" i="1"/>
  <c r="A2724" i="1"/>
  <c r="B2724" i="1"/>
  <c r="E2724" i="1"/>
  <c r="H2724" i="1"/>
  <c r="I2724" i="1"/>
  <c r="A3030" i="1"/>
  <c r="B3030" i="1"/>
  <c r="E3030" i="1"/>
  <c r="H3030" i="1"/>
  <c r="I3030" i="1"/>
  <c r="A3051" i="1"/>
  <c r="B3051" i="1"/>
  <c r="E3051" i="1"/>
  <c r="H3051" i="1"/>
  <c r="I3051" i="1"/>
  <c r="A3117" i="1"/>
  <c r="B3117" i="1"/>
  <c r="E3117" i="1"/>
  <c r="H3117" i="1"/>
  <c r="I3117" i="1"/>
  <c r="A3309" i="1"/>
  <c r="B3309" i="1"/>
  <c r="E3309" i="1"/>
  <c r="H3309" i="1"/>
  <c r="I3309" i="1"/>
  <c r="A415" i="1"/>
  <c r="B415" i="1"/>
  <c r="E415" i="1"/>
  <c r="H415" i="1"/>
  <c r="I415" i="1"/>
  <c r="A1900" i="1"/>
  <c r="B1900" i="1"/>
  <c r="E1900" i="1"/>
  <c r="H1900" i="1"/>
  <c r="I1900" i="1"/>
  <c r="A3604" i="1"/>
  <c r="B3604" i="1"/>
  <c r="E3604" i="1"/>
  <c r="H3604" i="1"/>
  <c r="I3604" i="1"/>
  <c r="A710" i="1"/>
  <c r="B710" i="1"/>
  <c r="E710" i="1"/>
  <c r="H710" i="1"/>
  <c r="I710" i="1"/>
  <c r="A1024" i="1"/>
  <c r="B1024" i="1"/>
  <c r="E1024" i="1"/>
  <c r="H1024" i="1"/>
  <c r="I1024" i="1"/>
  <c r="A2472" i="1"/>
  <c r="B2472" i="1"/>
  <c r="E2472" i="1"/>
  <c r="H2472" i="1"/>
  <c r="I2472" i="1"/>
  <c r="A3600" i="1"/>
  <c r="B3600" i="1"/>
  <c r="E3600" i="1"/>
  <c r="H3600" i="1"/>
  <c r="I3600" i="1"/>
  <c r="A484" i="1"/>
  <c r="B484" i="1"/>
  <c r="E484" i="1"/>
  <c r="H484" i="1"/>
  <c r="I484" i="1"/>
  <c r="A470" i="1"/>
  <c r="B470" i="1"/>
  <c r="E470" i="1"/>
  <c r="H470" i="1"/>
  <c r="I470" i="1"/>
  <c r="A471" i="1"/>
  <c r="B471" i="1"/>
  <c r="E471" i="1"/>
  <c r="H471" i="1"/>
  <c r="I471" i="1"/>
  <c r="A472" i="1"/>
  <c r="B472" i="1"/>
  <c r="E472" i="1"/>
  <c r="H472" i="1"/>
  <c r="I472" i="1"/>
  <c r="A473" i="1"/>
  <c r="B473" i="1"/>
  <c r="E473" i="1"/>
  <c r="H473" i="1"/>
  <c r="I473" i="1"/>
  <c r="A474" i="1"/>
  <c r="B474" i="1"/>
  <c r="E474" i="1"/>
  <c r="H474" i="1"/>
  <c r="I474" i="1"/>
  <c r="A475" i="1"/>
  <c r="B475" i="1"/>
  <c r="E475" i="1"/>
  <c r="H475" i="1"/>
  <c r="I475" i="1"/>
  <c r="A496" i="1"/>
  <c r="B496" i="1"/>
  <c r="E496" i="1"/>
  <c r="H496" i="1"/>
  <c r="I496" i="1"/>
  <c r="A497" i="1"/>
  <c r="B497" i="1"/>
  <c r="E497" i="1"/>
  <c r="H497" i="1"/>
  <c r="I497" i="1"/>
  <c r="A490" i="1"/>
  <c r="B490" i="1"/>
  <c r="E490" i="1"/>
  <c r="H490" i="1"/>
  <c r="I490" i="1"/>
  <c r="A491" i="1"/>
  <c r="B491" i="1"/>
  <c r="E491" i="1"/>
  <c r="H491" i="1"/>
  <c r="I491" i="1"/>
  <c r="A494" i="1"/>
  <c r="B494" i="1"/>
  <c r="E494" i="1"/>
  <c r="H494" i="1"/>
  <c r="I494" i="1"/>
  <c r="A495" i="1"/>
  <c r="B495" i="1"/>
  <c r="E495" i="1"/>
  <c r="H495" i="1"/>
  <c r="I495" i="1"/>
  <c r="A478" i="1"/>
  <c r="B478" i="1"/>
  <c r="E478" i="1"/>
  <c r="H478" i="1"/>
  <c r="I478" i="1"/>
  <c r="A479" i="1"/>
  <c r="B479" i="1"/>
  <c r="E479" i="1"/>
  <c r="H479" i="1"/>
  <c r="I479" i="1"/>
  <c r="A466" i="1"/>
  <c r="B466" i="1"/>
  <c r="E466" i="1"/>
  <c r="H466" i="1"/>
  <c r="I466" i="1"/>
  <c r="A467" i="1"/>
  <c r="B467" i="1"/>
  <c r="E467" i="1"/>
  <c r="H467" i="1"/>
  <c r="I467" i="1"/>
  <c r="A480" i="1"/>
  <c r="B480" i="1"/>
  <c r="E480" i="1"/>
  <c r="H480" i="1"/>
  <c r="I480" i="1"/>
  <c r="A481" i="1"/>
  <c r="B481" i="1"/>
  <c r="E481" i="1"/>
  <c r="H481" i="1"/>
  <c r="I481" i="1"/>
  <c r="A492" i="1"/>
  <c r="B492" i="1"/>
  <c r="E492" i="1"/>
  <c r="H492" i="1"/>
  <c r="I492" i="1"/>
  <c r="A493" i="1"/>
  <c r="B493" i="1"/>
  <c r="E493" i="1"/>
  <c r="H493" i="1"/>
  <c r="I493" i="1"/>
  <c r="A468" i="1"/>
  <c r="B468" i="1"/>
  <c r="E468" i="1"/>
  <c r="H468" i="1"/>
  <c r="I468" i="1"/>
  <c r="A469" i="1"/>
  <c r="B469" i="1"/>
  <c r="E469" i="1"/>
  <c r="H469" i="1"/>
  <c r="I469" i="1"/>
  <c r="A476" i="1"/>
  <c r="B476" i="1"/>
  <c r="E476" i="1"/>
  <c r="H476" i="1"/>
  <c r="I476" i="1"/>
  <c r="A477" i="1"/>
  <c r="B477" i="1"/>
  <c r="E477" i="1"/>
  <c r="H477" i="1"/>
  <c r="I477" i="1"/>
  <c r="A464" i="1"/>
  <c r="B464" i="1"/>
  <c r="E464" i="1"/>
  <c r="H464" i="1"/>
  <c r="I464" i="1"/>
  <c r="A465" i="1"/>
  <c r="B465" i="1"/>
  <c r="E465" i="1"/>
  <c r="H465" i="1"/>
  <c r="I465" i="1"/>
  <c r="A486" i="1"/>
  <c r="B486" i="1"/>
  <c r="E486" i="1"/>
  <c r="H486" i="1"/>
  <c r="I486" i="1"/>
  <c r="A487" i="1"/>
  <c r="B487" i="1"/>
  <c r="E487" i="1"/>
  <c r="H487" i="1"/>
  <c r="I487" i="1"/>
  <c r="A482" i="1"/>
  <c r="B482" i="1"/>
  <c r="E482" i="1"/>
  <c r="H482" i="1"/>
  <c r="I482" i="1"/>
  <c r="A483" i="1"/>
  <c r="B483" i="1"/>
  <c r="E483" i="1"/>
  <c r="H483" i="1"/>
  <c r="I483" i="1"/>
  <c r="A488" i="1"/>
  <c r="B488" i="1"/>
  <c r="E488" i="1"/>
  <c r="H488" i="1"/>
  <c r="I488" i="1"/>
  <c r="A489" i="1"/>
  <c r="B489" i="1"/>
  <c r="E489" i="1"/>
  <c r="H489" i="1"/>
  <c r="I489" i="1"/>
  <c r="A2690" i="1"/>
  <c r="B2690" i="1"/>
  <c r="E2690" i="1"/>
  <c r="H2690" i="1"/>
  <c r="I2690" i="1"/>
  <c r="A2691" i="1"/>
  <c r="B2691" i="1"/>
  <c r="E2691" i="1"/>
  <c r="H2691" i="1"/>
  <c r="I2691" i="1"/>
  <c r="A2696" i="1"/>
  <c r="B2696" i="1"/>
  <c r="E2696" i="1"/>
  <c r="H2696" i="1"/>
  <c r="I2696" i="1"/>
  <c r="A2697" i="1"/>
  <c r="B2697" i="1"/>
  <c r="E2697" i="1"/>
  <c r="H2697" i="1"/>
  <c r="I2697" i="1"/>
  <c r="A2712" i="1"/>
  <c r="B2712" i="1"/>
  <c r="E2712" i="1"/>
  <c r="H2712" i="1"/>
  <c r="I2712" i="1"/>
  <c r="A2713" i="1"/>
  <c r="B2713" i="1"/>
  <c r="E2713" i="1"/>
  <c r="H2713" i="1"/>
  <c r="I2713" i="1"/>
  <c r="A2704" i="1"/>
  <c r="B2704" i="1"/>
  <c r="E2704" i="1"/>
  <c r="H2704" i="1"/>
  <c r="I2704" i="1"/>
  <c r="A2705" i="1"/>
  <c r="B2705" i="1"/>
  <c r="E2705" i="1"/>
  <c r="H2705" i="1"/>
  <c r="I2705" i="1"/>
  <c r="A2692" i="1"/>
  <c r="B2692" i="1"/>
  <c r="E2692" i="1"/>
  <c r="H2692" i="1"/>
  <c r="I2692" i="1"/>
  <c r="A2693" i="1"/>
  <c r="B2693" i="1"/>
  <c r="E2693" i="1"/>
  <c r="H2693" i="1"/>
  <c r="I2693" i="1"/>
  <c r="A2698" i="1"/>
  <c r="B2698" i="1"/>
  <c r="E2698" i="1"/>
  <c r="H2698" i="1"/>
  <c r="I2698" i="1"/>
  <c r="A2699" i="1"/>
  <c r="B2699" i="1"/>
  <c r="E2699" i="1"/>
  <c r="H2699" i="1"/>
  <c r="I2699" i="1"/>
  <c r="A2706" i="1"/>
  <c r="B2706" i="1"/>
  <c r="E2706" i="1"/>
  <c r="H2706" i="1"/>
  <c r="I2706" i="1"/>
  <c r="A2707" i="1"/>
  <c r="B2707" i="1"/>
  <c r="E2707" i="1"/>
  <c r="H2707" i="1"/>
  <c r="I2707" i="1"/>
  <c r="A2710" i="1"/>
  <c r="B2710" i="1"/>
  <c r="E2710" i="1"/>
  <c r="H2710" i="1"/>
  <c r="I2710" i="1"/>
  <c r="A2711" i="1"/>
  <c r="B2711" i="1"/>
  <c r="E2711" i="1"/>
  <c r="H2711" i="1"/>
  <c r="I2711" i="1"/>
  <c r="A2708" i="1"/>
  <c r="B2708" i="1"/>
  <c r="E2708" i="1"/>
  <c r="H2708" i="1"/>
  <c r="I2708" i="1"/>
  <c r="A2709" i="1"/>
  <c r="B2709" i="1"/>
  <c r="E2709" i="1"/>
  <c r="H2709" i="1"/>
  <c r="I2709" i="1"/>
  <c r="A2688" i="1"/>
  <c r="B2688" i="1"/>
  <c r="E2688" i="1"/>
  <c r="H2688" i="1"/>
  <c r="I2688" i="1"/>
  <c r="A2689" i="1"/>
  <c r="B2689" i="1"/>
  <c r="E2689" i="1"/>
  <c r="H2689" i="1"/>
  <c r="I2689" i="1"/>
  <c r="A2694" i="1"/>
  <c r="B2694" i="1"/>
  <c r="E2694" i="1"/>
  <c r="H2694" i="1"/>
  <c r="I2694" i="1"/>
  <c r="A2695" i="1"/>
  <c r="B2695" i="1"/>
  <c r="E2695" i="1"/>
  <c r="H2695" i="1"/>
  <c r="I2695" i="1"/>
  <c r="A2714" i="1"/>
  <c r="B2714" i="1"/>
  <c r="E2714" i="1"/>
  <c r="H2714" i="1"/>
  <c r="I2714" i="1"/>
  <c r="A2715" i="1"/>
  <c r="B2715" i="1"/>
  <c r="E2715" i="1"/>
  <c r="H2715" i="1"/>
  <c r="I2715" i="1"/>
  <c r="A2700" i="1"/>
  <c r="B2700" i="1"/>
  <c r="E2700" i="1"/>
  <c r="H2700" i="1"/>
  <c r="I2700" i="1"/>
  <c r="A1798" i="1"/>
  <c r="B1798" i="1"/>
  <c r="E1798" i="1"/>
  <c r="H1798" i="1"/>
  <c r="I1798" i="1"/>
  <c r="A1801" i="1"/>
  <c r="B1801" i="1"/>
  <c r="E1801" i="1"/>
  <c r="H1801" i="1"/>
  <c r="I1801" i="1"/>
  <c r="A1773" i="1"/>
  <c r="B1773" i="1"/>
  <c r="E1773" i="1"/>
  <c r="H1773" i="1"/>
  <c r="I1773" i="1"/>
  <c r="A1913" i="1"/>
  <c r="B1913" i="1"/>
  <c r="E1913" i="1"/>
  <c r="H1913" i="1"/>
  <c r="I1913" i="1"/>
  <c r="A522" i="1"/>
  <c r="B522" i="1"/>
  <c r="E522" i="1"/>
  <c r="H522" i="1"/>
  <c r="I522" i="1"/>
  <c r="A1843" i="1"/>
  <c r="B1843" i="1"/>
  <c r="E1843" i="1"/>
  <c r="H1843" i="1"/>
  <c r="I1843" i="1"/>
  <c r="A1839" i="1"/>
  <c r="B1839" i="1"/>
  <c r="E1839" i="1"/>
  <c r="H1839" i="1"/>
  <c r="I1839" i="1"/>
  <c r="A3065" i="1"/>
  <c r="B3065" i="1"/>
  <c r="E3065" i="1"/>
  <c r="H3065" i="1"/>
  <c r="I3065" i="1"/>
  <c r="A3066" i="1"/>
  <c r="B3066" i="1"/>
  <c r="E3066" i="1"/>
  <c r="H3066" i="1"/>
  <c r="I3066" i="1"/>
  <c r="A3063" i="1"/>
  <c r="B3063" i="1"/>
  <c r="E3063" i="1"/>
  <c r="H3063" i="1"/>
  <c r="I3063" i="1"/>
  <c r="A3064" i="1"/>
  <c r="B3064" i="1"/>
  <c r="E3064" i="1"/>
  <c r="H3064" i="1"/>
  <c r="I3064" i="1"/>
  <c r="A3057" i="1"/>
  <c r="B3057" i="1"/>
  <c r="E3057" i="1"/>
  <c r="H3057" i="1"/>
  <c r="I3057" i="1"/>
  <c r="A3058" i="1"/>
  <c r="B3058" i="1"/>
  <c r="E3058" i="1"/>
  <c r="H3058" i="1"/>
  <c r="I3058" i="1"/>
  <c r="A3087" i="1"/>
  <c r="B3087" i="1"/>
  <c r="E3087" i="1"/>
  <c r="H3087" i="1"/>
  <c r="I3087" i="1"/>
  <c r="A3088" i="1"/>
  <c r="B3088" i="1"/>
  <c r="E3088" i="1"/>
  <c r="H3088" i="1"/>
  <c r="I3088" i="1"/>
  <c r="A3085" i="1"/>
  <c r="B3085" i="1"/>
  <c r="E3085" i="1"/>
  <c r="H3085" i="1"/>
  <c r="I3085" i="1"/>
  <c r="A3086" i="1"/>
  <c r="B3086" i="1"/>
  <c r="E3086" i="1"/>
  <c r="H3086" i="1"/>
  <c r="I3086" i="1"/>
  <c r="A3079" i="1"/>
  <c r="B3079" i="1"/>
  <c r="E3079" i="1"/>
  <c r="H3079" i="1"/>
  <c r="I3079" i="1"/>
  <c r="A3080" i="1"/>
  <c r="B3080" i="1"/>
  <c r="E3080" i="1"/>
  <c r="H3080" i="1"/>
  <c r="I3080" i="1"/>
  <c r="A3081" i="1"/>
  <c r="B3081" i="1"/>
  <c r="E3081" i="1"/>
  <c r="H3081" i="1"/>
  <c r="I3081" i="1"/>
  <c r="A3082" i="1"/>
  <c r="B3082" i="1"/>
  <c r="E3082" i="1"/>
  <c r="H3082" i="1"/>
  <c r="I3082" i="1"/>
  <c r="A3083" i="1"/>
  <c r="B3083" i="1"/>
  <c r="E3083" i="1"/>
  <c r="H3083" i="1"/>
  <c r="I3083" i="1"/>
  <c r="A3084" i="1"/>
  <c r="B3084" i="1"/>
  <c r="E3084" i="1"/>
  <c r="H3084" i="1"/>
  <c r="I3084" i="1"/>
  <c r="A3077" i="1"/>
  <c r="B3077" i="1"/>
  <c r="E3077" i="1"/>
  <c r="H3077" i="1"/>
  <c r="I3077" i="1"/>
  <c r="A3078" i="1"/>
  <c r="B3078" i="1"/>
  <c r="E3078" i="1"/>
  <c r="H3078" i="1"/>
  <c r="I3078" i="1"/>
  <c r="A3069" i="1"/>
  <c r="B3069" i="1"/>
  <c r="E3069" i="1"/>
  <c r="H3069" i="1"/>
  <c r="I3069" i="1"/>
  <c r="A3070" i="1"/>
  <c r="B3070" i="1"/>
  <c r="E3070" i="1"/>
  <c r="H3070" i="1"/>
  <c r="I3070" i="1"/>
  <c r="A3055" i="1"/>
  <c r="B3055" i="1"/>
  <c r="E3055" i="1"/>
  <c r="H3055" i="1"/>
  <c r="I3055" i="1"/>
  <c r="A3056" i="1"/>
  <c r="B3056" i="1"/>
  <c r="E3056" i="1"/>
  <c r="H3056" i="1"/>
  <c r="I3056" i="1"/>
  <c r="A3067" i="1"/>
  <c r="B3067" i="1"/>
  <c r="E3067" i="1"/>
  <c r="H3067" i="1"/>
  <c r="I3067" i="1"/>
  <c r="A3068" i="1"/>
  <c r="B3068" i="1"/>
  <c r="E3068" i="1"/>
  <c r="H3068" i="1"/>
  <c r="I3068" i="1"/>
  <c r="A3061" i="1"/>
  <c r="B3061" i="1"/>
  <c r="E3061" i="1"/>
  <c r="H3061" i="1"/>
  <c r="I3061" i="1"/>
  <c r="A3062" i="1"/>
  <c r="B3062" i="1"/>
  <c r="E3062" i="1"/>
  <c r="H3062" i="1"/>
  <c r="I3062" i="1"/>
  <c r="A3073" i="1"/>
  <c r="B3073" i="1"/>
  <c r="E3073" i="1"/>
  <c r="H3073" i="1"/>
  <c r="I3073" i="1"/>
  <c r="A3074" i="1"/>
  <c r="B3074" i="1"/>
  <c r="E3074" i="1"/>
  <c r="H3074" i="1"/>
  <c r="I3074" i="1"/>
  <c r="A3071" i="1"/>
  <c r="B3071" i="1"/>
  <c r="E3071" i="1"/>
  <c r="H3071" i="1"/>
  <c r="I3071" i="1"/>
  <c r="A3072" i="1"/>
  <c r="B3072" i="1"/>
  <c r="E3072" i="1"/>
  <c r="H3072" i="1"/>
  <c r="I3072" i="1"/>
  <c r="A1179" i="1"/>
  <c r="B1179" i="1"/>
  <c r="E1179" i="1"/>
  <c r="H1179" i="1"/>
  <c r="I1179" i="1"/>
  <c r="A1191" i="1"/>
  <c r="B1191" i="1"/>
  <c r="E1191" i="1"/>
  <c r="H1191" i="1"/>
  <c r="I1191" i="1"/>
  <c r="A300" i="1"/>
  <c r="B300" i="1"/>
  <c r="E300" i="1"/>
  <c r="H300" i="1"/>
  <c r="I300" i="1"/>
  <c r="A276" i="1"/>
  <c r="B276" i="1"/>
  <c r="E276" i="1"/>
  <c r="H276" i="1"/>
  <c r="I276" i="1"/>
  <c r="A320" i="1"/>
  <c r="B320" i="1"/>
  <c r="E320" i="1"/>
  <c r="H320" i="1"/>
  <c r="I320" i="1"/>
  <c r="A343" i="1"/>
  <c r="B343" i="1"/>
  <c r="E343" i="1"/>
  <c r="H343" i="1"/>
  <c r="I343" i="1"/>
  <c r="A336" i="1"/>
  <c r="B336" i="1"/>
  <c r="E336" i="1"/>
  <c r="H336" i="1"/>
  <c r="I336" i="1"/>
  <c r="A508" i="1"/>
  <c r="B508" i="1"/>
  <c r="E508" i="1"/>
  <c r="H508" i="1"/>
  <c r="I508" i="1"/>
  <c r="A762" i="1"/>
  <c r="B762" i="1"/>
  <c r="E762" i="1"/>
  <c r="H762" i="1"/>
  <c r="I762" i="1"/>
  <c r="A1918" i="1"/>
  <c r="B1918" i="1"/>
  <c r="E1918" i="1"/>
  <c r="H1918" i="1"/>
  <c r="I1918" i="1"/>
  <c r="A1884" i="1"/>
  <c r="B1884" i="1"/>
  <c r="E1884" i="1"/>
  <c r="H1884" i="1"/>
  <c r="I1884" i="1"/>
  <c r="A1874" i="1"/>
  <c r="B1874" i="1"/>
  <c r="E1874" i="1"/>
  <c r="H1874" i="1"/>
  <c r="I1874" i="1"/>
  <c r="A1875" i="1"/>
  <c r="B1875" i="1"/>
  <c r="E1875" i="1"/>
  <c r="H1875" i="1"/>
  <c r="I1875" i="1"/>
  <c r="A1872" i="1"/>
  <c r="B1872" i="1"/>
  <c r="E1872" i="1"/>
  <c r="H1872" i="1"/>
  <c r="I1872" i="1"/>
  <c r="A1873" i="1"/>
  <c r="B1873" i="1"/>
  <c r="E1873" i="1"/>
  <c r="H1873" i="1"/>
  <c r="I1873" i="1"/>
  <c r="A1880" i="1"/>
  <c r="B1880" i="1"/>
  <c r="E1880" i="1"/>
  <c r="H1880" i="1"/>
  <c r="I1880" i="1"/>
  <c r="A1881" i="1"/>
  <c r="B1881" i="1"/>
  <c r="E1881" i="1"/>
  <c r="H1881" i="1"/>
  <c r="I1881" i="1"/>
  <c r="A1882" i="1"/>
  <c r="B1882" i="1"/>
  <c r="E1882" i="1"/>
  <c r="H1882" i="1"/>
  <c r="I1882" i="1"/>
  <c r="A1883" i="1"/>
  <c r="B1883" i="1"/>
  <c r="E1883" i="1"/>
  <c r="H1883" i="1"/>
  <c r="I1883" i="1"/>
  <c r="A1878" i="1"/>
  <c r="B1878" i="1"/>
  <c r="E1878" i="1"/>
  <c r="H1878" i="1"/>
  <c r="I1878" i="1"/>
  <c r="A1879" i="1"/>
  <c r="B1879" i="1"/>
  <c r="E1879" i="1"/>
  <c r="H1879" i="1"/>
  <c r="I1879" i="1"/>
  <c r="A1885" i="1"/>
  <c r="B1885" i="1"/>
  <c r="E1885" i="1"/>
  <c r="H1885" i="1"/>
  <c r="I1885" i="1"/>
  <c r="A1886" i="1"/>
  <c r="B1886" i="1"/>
  <c r="E1886" i="1"/>
  <c r="H1886" i="1"/>
  <c r="I1886" i="1"/>
  <c r="A1871" i="1"/>
  <c r="B1871" i="1"/>
  <c r="E1871" i="1"/>
  <c r="H1871" i="1"/>
  <c r="I1871" i="1"/>
  <c r="A1876" i="1"/>
  <c r="B1876" i="1"/>
  <c r="E1876" i="1"/>
  <c r="H1876" i="1"/>
  <c r="I1876" i="1"/>
  <c r="A1877" i="1"/>
  <c r="B1877" i="1"/>
  <c r="E1877" i="1"/>
  <c r="H1877" i="1"/>
  <c r="I1877" i="1"/>
  <c r="A2314" i="1"/>
  <c r="B2314" i="1"/>
  <c r="E2314" i="1"/>
  <c r="H2314" i="1"/>
  <c r="I2314" i="1"/>
  <c r="A2320" i="1"/>
  <c r="B2320" i="1"/>
  <c r="E2320" i="1"/>
  <c r="H2320" i="1"/>
  <c r="I2320" i="1"/>
  <c r="A2324" i="1"/>
  <c r="B2324" i="1"/>
  <c r="E2324" i="1"/>
  <c r="H2324" i="1"/>
  <c r="I2324" i="1"/>
  <c r="A1910" i="1"/>
  <c r="B1910" i="1"/>
  <c r="E1910" i="1"/>
  <c r="H1910" i="1"/>
  <c r="I1910" i="1"/>
  <c r="A1936" i="1"/>
  <c r="B1936" i="1"/>
  <c r="E1936" i="1"/>
  <c r="H1936" i="1"/>
  <c r="I1936" i="1"/>
  <c r="A533" i="1"/>
  <c r="B533" i="1"/>
  <c r="E533" i="1"/>
  <c r="H533" i="1"/>
  <c r="I533" i="1"/>
  <c r="A1841" i="1"/>
  <c r="B1841" i="1"/>
  <c r="E1841" i="1"/>
  <c r="H1841" i="1"/>
  <c r="I1841" i="1"/>
  <c r="A1863" i="1"/>
  <c r="B1863" i="1"/>
  <c r="E1863" i="1"/>
  <c r="H1863" i="1"/>
  <c r="I1863" i="1"/>
  <c r="A1687" i="1"/>
  <c r="B1687" i="1"/>
  <c r="E1687" i="1"/>
  <c r="H1687" i="1"/>
  <c r="I1687" i="1"/>
  <c r="A1697" i="1"/>
  <c r="B1697" i="1"/>
  <c r="E1697" i="1"/>
  <c r="H1697" i="1"/>
  <c r="I1697" i="1"/>
  <c r="A1683" i="1"/>
  <c r="B1683" i="1"/>
  <c r="E1683" i="1"/>
  <c r="H1683" i="1"/>
  <c r="I1683" i="1"/>
  <c r="A1681" i="1"/>
  <c r="B1681" i="1"/>
  <c r="E1681" i="1"/>
  <c r="H1681" i="1"/>
  <c r="I1681" i="1"/>
  <c r="A536" i="1"/>
  <c r="B536" i="1"/>
  <c r="E536" i="1"/>
  <c r="H536" i="1"/>
  <c r="I536" i="1"/>
  <c r="A1813" i="1"/>
  <c r="B1813" i="1"/>
  <c r="E1813" i="1"/>
  <c r="H1813" i="1"/>
  <c r="I1813" i="1"/>
  <c r="A1033" i="1"/>
  <c r="B1033" i="1"/>
  <c r="E1033" i="1"/>
  <c r="H1033" i="1"/>
  <c r="I1033" i="1"/>
  <c r="A3119" i="1"/>
  <c r="B3119" i="1"/>
  <c r="E3119" i="1"/>
  <c r="H3119" i="1"/>
  <c r="I3119" i="1"/>
  <c r="A3561" i="1"/>
  <c r="B3561" i="1"/>
  <c r="E3561" i="1"/>
  <c r="H3561" i="1"/>
  <c r="I3561" i="1"/>
  <c r="A3564" i="1"/>
  <c r="B3564" i="1"/>
  <c r="E3564" i="1"/>
  <c r="H3564" i="1"/>
  <c r="I3564" i="1"/>
  <c r="A3571" i="1"/>
  <c r="B3571" i="1"/>
  <c r="E3571" i="1"/>
  <c r="H3571" i="1"/>
  <c r="I3571" i="1"/>
  <c r="A101" i="1"/>
  <c r="B101" i="1"/>
  <c r="E101" i="1"/>
  <c r="H101" i="1"/>
  <c r="I101" i="1"/>
  <c r="A2758" i="1"/>
  <c r="B2758" i="1"/>
  <c r="E2758" i="1"/>
  <c r="H2758" i="1"/>
  <c r="I2758" i="1"/>
  <c r="A1261" i="1"/>
  <c r="B1261" i="1"/>
  <c r="E1261" i="1"/>
  <c r="H1261" i="1"/>
  <c r="I1261" i="1"/>
  <c r="A1262" i="1"/>
  <c r="B1262" i="1"/>
  <c r="E1262" i="1"/>
  <c r="H1262" i="1"/>
  <c r="I1262" i="1"/>
  <c r="A1249" i="1"/>
  <c r="B1249" i="1"/>
  <c r="E1249" i="1"/>
  <c r="H1249" i="1"/>
  <c r="I1249" i="1"/>
  <c r="A1250" i="1"/>
  <c r="B1250" i="1"/>
  <c r="E1250" i="1"/>
  <c r="H1250" i="1"/>
  <c r="I1250" i="1"/>
  <c r="A1247" i="1"/>
  <c r="B1247" i="1"/>
  <c r="E1247" i="1"/>
  <c r="H1247" i="1"/>
  <c r="I1247" i="1"/>
  <c r="A1248" i="1"/>
  <c r="B1248" i="1"/>
  <c r="E1248" i="1"/>
  <c r="H1248" i="1"/>
  <c r="I1248" i="1"/>
  <c r="A1217" i="1"/>
  <c r="B1217" i="1"/>
  <c r="E1217" i="1"/>
  <c r="H1217" i="1"/>
  <c r="I1217" i="1"/>
  <c r="A1218" i="1"/>
  <c r="B1218" i="1"/>
  <c r="E1218" i="1"/>
  <c r="H1218" i="1"/>
  <c r="I1218" i="1"/>
  <c r="A1257" i="1"/>
  <c r="B1257" i="1"/>
  <c r="E1257" i="1"/>
  <c r="H1257" i="1"/>
  <c r="I1257" i="1"/>
  <c r="A1258" i="1"/>
  <c r="B1258" i="1"/>
  <c r="E1258" i="1"/>
  <c r="H1258" i="1"/>
  <c r="I1258" i="1"/>
  <c r="A1263" i="1"/>
  <c r="B1263" i="1"/>
  <c r="E1263" i="1"/>
  <c r="H1263" i="1"/>
  <c r="I1263" i="1"/>
  <c r="A1264" i="1"/>
  <c r="B1264" i="1"/>
  <c r="E1264" i="1"/>
  <c r="H1264" i="1"/>
  <c r="I1264" i="1"/>
  <c r="A1251" i="1"/>
  <c r="B1251" i="1"/>
  <c r="E1251" i="1"/>
  <c r="H1251" i="1"/>
  <c r="I1251" i="1"/>
  <c r="A1252" i="1"/>
  <c r="B1252" i="1"/>
  <c r="E1252" i="1"/>
  <c r="H1252" i="1"/>
  <c r="I1252" i="1"/>
  <c r="A1265" i="1"/>
  <c r="B1265" i="1"/>
  <c r="E1265" i="1"/>
  <c r="H1265" i="1"/>
  <c r="I1265" i="1"/>
  <c r="A1266" i="1"/>
  <c r="B1266" i="1"/>
  <c r="E1266" i="1"/>
  <c r="H1266" i="1"/>
  <c r="I1266" i="1"/>
  <c r="A1221" i="1"/>
  <c r="B1221" i="1"/>
  <c r="E1221" i="1"/>
  <c r="H1221" i="1"/>
  <c r="I1221" i="1"/>
  <c r="A1222" i="1"/>
  <c r="B1222" i="1"/>
  <c r="E1222" i="1"/>
  <c r="H1222" i="1"/>
  <c r="I1222" i="1"/>
  <c r="A1215" i="1"/>
  <c r="B1215" i="1"/>
  <c r="E1215" i="1"/>
  <c r="H1215" i="1"/>
  <c r="I1215" i="1"/>
  <c r="A1216" i="1"/>
  <c r="B1216" i="1"/>
  <c r="E1216" i="1"/>
  <c r="H1216" i="1"/>
  <c r="I1216" i="1"/>
  <c r="A1223" i="1"/>
  <c r="B1223" i="1"/>
  <c r="E1223" i="1"/>
  <c r="H1223" i="1"/>
  <c r="I1223" i="1"/>
  <c r="A1224" i="1"/>
  <c r="B1224" i="1"/>
  <c r="E1224" i="1"/>
  <c r="H1224" i="1"/>
  <c r="I1224" i="1"/>
  <c r="A1229" i="1"/>
  <c r="B1229" i="1"/>
  <c r="E1229" i="1"/>
  <c r="H1229" i="1"/>
  <c r="I1229" i="1"/>
  <c r="A1230" i="1"/>
  <c r="B1230" i="1"/>
  <c r="E1230" i="1"/>
  <c r="H1230" i="1"/>
  <c r="I1230" i="1"/>
  <c r="A1267" i="1"/>
  <c r="B1267" i="1"/>
  <c r="E1267" i="1"/>
  <c r="H1267" i="1"/>
  <c r="I1267" i="1"/>
  <c r="A1268" i="1"/>
  <c r="B1268" i="1"/>
  <c r="E1268" i="1"/>
  <c r="H1268" i="1"/>
  <c r="I1268" i="1"/>
  <c r="A454" i="1"/>
  <c r="B454" i="1"/>
  <c r="E454" i="1"/>
  <c r="H454" i="1"/>
  <c r="I454" i="1"/>
  <c r="A447" i="1"/>
  <c r="B447" i="1"/>
  <c r="E447" i="1"/>
  <c r="H447" i="1"/>
  <c r="I447" i="1"/>
  <c r="A674" i="1"/>
  <c r="B674" i="1"/>
  <c r="E674" i="1"/>
  <c r="H674" i="1"/>
  <c r="I674" i="1"/>
  <c r="A1078" i="1"/>
  <c r="B1078" i="1"/>
  <c r="E1078" i="1"/>
  <c r="H1078" i="1"/>
  <c r="I1078" i="1"/>
  <c r="A3374" i="1"/>
  <c r="B3374" i="1"/>
  <c r="E3374" i="1"/>
  <c r="H3374" i="1"/>
  <c r="I3374" i="1"/>
  <c r="A1854" i="1"/>
  <c r="B1854" i="1"/>
  <c r="E1854" i="1"/>
  <c r="H1854" i="1"/>
  <c r="I1854" i="1"/>
  <c r="A1850" i="1"/>
  <c r="B1850" i="1"/>
  <c r="E1850" i="1"/>
  <c r="H1850" i="1"/>
  <c r="I1850" i="1"/>
  <c r="A1838" i="1"/>
  <c r="B1838" i="1"/>
  <c r="E1838" i="1"/>
  <c r="H1838" i="1"/>
  <c r="I1838" i="1"/>
  <c r="A1857" i="1"/>
  <c r="B1857" i="1"/>
  <c r="E1857" i="1"/>
  <c r="H1857" i="1"/>
  <c r="I1857" i="1"/>
  <c r="A1844" i="1"/>
  <c r="B1844" i="1"/>
  <c r="E1844" i="1"/>
  <c r="H1844" i="1"/>
  <c r="I1844" i="1"/>
  <c r="A1862" i="1"/>
  <c r="B1862" i="1"/>
  <c r="E1862" i="1"/>
  <c r="H1862" i="1"/>
  <c r="I1862" i="1"/>
  <c r="A1846" i="1"/>
  <c r="B1846" i="1"/>
  <c r="E1846" i="1"/>
  <c r="H1846" i="1"/>
  <c r="I1846" i="1"/>
  <c r="A1848" i="1"/>
  <c r="B1848" i="1"/>
  <c r="E1848" i="1"/>
  <c r="H1848" i="1"/>
  <c r="I1848" i="1"/>
  <c r="A1867" i="1"/>
  <c r="B1867" i="1"/>
  <c r="E1867" i="1"/>
  <c r="H1867" i="1"/>
  <c r="I1867" i="1"/>
  <c r="A1864" i="1"/>
  <c r="B1864" i="1"/>
  <c r="E1864" i="1"/>
  <c r="H1864" i="1"/>
  <c r="I1864" i="1"/>
  <c r="A1840" i="1"/>
  <c r="B1840" i="1"/>
  <c r="E1840" i="1"/>
  <c r="H1840" i="1"/>
  <c r="I1840" i="1"/>
  <c r="A1866" i="1"/>
  <c r="B1866" i="1"/>
  <c r="E1866" i="1"/>
  <c r="H1866" i="1"/>
  <c r="I1866" i="1"/>
  <c r="A1845" i="1"/>
  <c r="B1845" i="1"/>
  <c r="E1845" i="1"/>
  <c r="H1845" i="1"/>
  <c r="I1845" i="1"/>
  <c r="A1869" i="1"/>
  <c r="B1869" i="1"/>
  <c r="E1869" i="1"/>
  <c r="H1869" i="1"/>
  <c r="I1869" i="1"/>
  <c r="A1851" i="1"/>
  <c r="B1851" i="1"/>
  <c r="E1851" i="1"/>
  <c r="H1851" i="1"/>
  <c r="I1851" i="1"/>
  <c r="A1855" i="1"/>
  <c r="B1855" i="1"/>
  <c r="E1855" i="1"/>
  <c r="H1855" i="1"/>
  <c r="I1855" i="1"/>
  <c r="A1860" i="1"/>
  <c r="B1860" i="1"/>
  <c r="E1860" i="1"/>
  <c r="H1860" i="1"/>
  <c r="I1860" i="1"/>
  <c r="A1901" i="1"/>
  <c r="B1901" i="1"/>
  <c r="E1901" i="1"/>
  <c r="H1901" i="1"/>
  <c r="I1901" i="1"/>
  <c r="A1889" i="1"/>
  <c r="B1889" i="1"/>
  <c r="E1889" i="1"/>
  <c r="H1889" i="1"/>
  <c r="I1889" i="1"/>
  <c r="A1894" i="1"/>
  <c r="B1894" i="1"/>
  <c r="E1894" i="1"/>
  <c r="H1894" i="1"/>
  <c r="I1894" i="1"/>
  <c r="A1897" i="1"/>
  <c r="B1897" i="1"/>
  <c r="E1897" i="1"/>
  <c r="H1897" i="1"/>
  <c r="I1897" i="1"/>
  <c r="A1891" i="1"/>
  <c r="B1891" i="1"/>
  <c r="E1891" i="1"/>
  <c r="H1891" i="1"/>
  <c r="I1891" i="1"/>
  <c r="A1887" i="1"/>
  <c r="B1887" i="1"/>
  <c r="E1887" i="1"/>
  <c r="H1887" i="1"/>
  <c r="I1887" i="1"/>
  <c r="A1895" i="1"/>
  <c r="B1895" i="1"/>
  <c r="E1895" i="1"/>
  <c r="H1895" i="1"/>
  <c r="I1895" i="1"/>
  <c r="A1903" i="1"/>
  <c r="B1903" i="1"/>
  <c r="E1903" i="1"/>
  <c r="H1903" i="1"/>
  <c r="I1903" i="1"/>
  <c r="A1904" i="1"/>
  <c r="B1904" i="1"/>
  <c r="E1904" i="1"/>
  <c r="H1904" i="1"/>
  <c r="I1904" i="1"/>
  <c r="A1922" i="1"/>
  <c r="B1922" i="1"/>
  <c r="E1922" i="1"/>
  <c r="H1922" i="1"/>
  <c r="I1922" i="1"/>
  <c r="A1907" i="1"/>
  <c r="B1907" i="1"/>
  <c r="E1907" i="1"/>
  <c r="H1907" i="1"/>
  <c r="I1907" i="1"/>
  <c r="A1920" i="1"/>
  <c r="B1920" i="1"/>
  <c r="E1920" i="1"/>
  <c r="H1920" i="1"/>
  <c r="I1920" i="1"/>
  <c r="A1911" i="1"/>
  <c r="B1911" i="1"/>
  <c r="E1911" i="1"/>
  <c r="H1911" i="1"/>
  <c r="I1911" i="1"/>
  <c r="A1925" i="1"/>
  <c r="B1925" i="1"/>
  <c r="E1925" i="1"/>
  <c r="H1925" i="1"/>
  <c r="I1925" i="1"/>
  <c r="A1926" i="1"/>
  <c r="B1926" i="1"/>
  <c r="E1926" i="1"/>
  <c r="H1926" i="1"/>
  <c r="I1926" i="1"/>
  <c r="A1914" i="1"/>
  <c r="B1914" i="1"/>
  <c r="E1914" i="1"/>
  <c r="H1914" i="1"/>
  <c r="I1914" i="1"/>
  <c r="A1915" i="1"/>
  <c r="B1915" i="1"/>
  <c r="E1915" i="1"/>
  <c r="H1915" i="1"/>
  <c r="I1915" i="1"/>
  <c r="A1916" i="1"/>
  <c r="B1916" i="1"/>
  <c r="E1916" i="1"/>
  <c r="H1916" i="1"/>
  <c r="I1916" i="1"/>
  <c r="A1939" i="1"/>
  <c r="B1939" i="1"/>
  <c r="E1939" i="1"/>
  <c r="H1939" i="1"/>
  <c r="I1939" i="1"/>
  <c r="A1908" i="1"/>
  <c r="B1908" i="1"/>
  <c r="E1908" i="1"/>
  <c r="H1908" i="1"/>
  <c r="I1908" i="1"/>
  <c r="A1933" i="1"/>
  <c r="B1933" i="1"/>
  <c r="E1933" i="1"/>
  <c r="H1933" i="1"/>
  <c r="I1933" i="1"/>
  <c r="A1934" i="1"/>
  <c r="B1934" i="1"/>
  <c r="E1934" i="1"/>
  <c r="H1934" i="1"/>
  <c r="I1934" i="1"/>
  <c r="A1937" i="1"/>
  <c r="B1937" i="1"/>
  <c r="E1937" i="1"/>
  <c r="H1937" i="1"/>
  <c r="I1937" i="1"/>
  <c r="A1931" i="1"/>
  <c r="B1931" i="1"/>
  <c r="E1931" i="1"/>
  <c r="H1931" i="1"/>
  <c r="I1931" i="1"/>
  <c r="A1927" i="1"/>
  <c r="B1927" i="1"/>
  <c r="E1927" i="1"/>
  <c r="H1927" i="1"/>
  <c r="I1927" i="1"/>
  <c r="A1944" i="1"/>
  <c r="B1944" i="1"/>
  <c r="E1944" i="1"/>
  <c r="H1944" i="1"/>
  <c r="I1944" i="1"/>
  <c r="A1943" i="1"/>
  <c r="B1943" i="1"/>
  <c r="E1943" i="1"/>
  <c r="H1943" i="1"/>
  <c r="I1943" i="1"/>
  <c r="A1940" i="1"/>
  <c r="B1940" i="1"/>
  <c r="E1940" i="1"/>
  <c r="H1940" i="1"/>
  <c r="I1940" i="1"/>
  <c r="A3421" i="1"/>
  <c r="B3421" i="1"/>
  <c r="E3421" i="1"/>
  <c r="H3421" i="1"/>
  <c r="I3421" i="1"/>
  <c r="A3450" i="1"/>
  <c r="B3450" i="1"/>
  <c r="E3450" i="1"/>
  <c r="H3450" i="1"/>
  <c r="I3450" i="1"/>
  <c r="A3429" i="1"/>
  <c r="B3429" i="1"/>
  <c r="E3429" i="1"/>
  <c r="H3429" i="1"/>
  <c r="I3429" i="1"/>
  <c r="A3422" i="1"/>
  <c r="B3422" i="1"/>
  <c r="E3422" i="1"/>
  <c r="H3422" i="1"/>
  <c r="I3422" i="1"/>
  <c r="A3453" i="1"/>
  <c r="B3453" i="1"/>
  <c r="E3453" i="1"/>
  <c r="H3453" i="1"/>
  <c r="I3453" i="1"/>
  <c r="A3433" i="1"/>
  <c r="B3433" i="1"/>
  <c r="E3433" i="1"/>
  <c r="H3433" i="1"/>
  <c r="I3433" i="1"/>
  <c r="A3441" i="1"/>
  <c r="B3441" i="1"/>
  <c r="E3441" i="1"/>
  <c r="H3441" i="1"/>
  <c r="I3441" i="1"/>
  <c r="A3461" i="1"/>
  <c r="B3461" i="1"/>
  <c r="E3461" i="1"/>
  <c r="H3461" i="1"/>
  <c r="I3461" i="1"/>
  <c r="A3434" i="1"/>
  <c r="B3434" i="1"/>
  <c r="E3434" i="1"/>
  <c r="H3434" i="1"/>
  <c r="I3434" i="1"/>
  <c r="A3420" i="1"/>
  <c r="B3420" i="1"/>
  <c r="E3420" i="1"/>
  <c r="H3420" i="1"/>
  <c r="I3420" i="1"/>
  <c r="A3448" i="1"/>
  <c r="B3448" i="1"/>
  <c r="E3448" i="1"/>
  <c r="H3448" i="1"/>
  <c r="I3448" i="1"/>
  <c r="A3416" i="1"/>
  <c r="B3416" i="1"/>
  <c r="E3416" i="1"/>
  <c r="H3416" i="1"/>
  <c r="I3416" i="1"/>
  <c r="A3438" i="1"/>
  <c r="B3438" i="1"/>
  <c r="E3438" i="1"/>
  <c r="H3438" i="1"/>
  <c r="I3438" i="1"/>
  <c r="A3437" i="1"/>
  <c r="B3437" i="1"/>
  <c r="E3437" i="1"/>
  <c r="H3437" i="1"/>
  <c r="I3437" i="1"/>
  <c r="A3458" i="1"/>
  <c r="B3458" i="1"/>
  <c r="E3458" i="1"/>
  <c r="H3458" i="1"/>
  <c r="I3458" i="1"/>
  <c r="A3444" i="1"/>
  <c r="B3444" i="1"/>
  <c r="E3444" i="1"/>
  <c r="H3444" i="1"/>
  <c r="I3444" i="1"/>
  <c r="A3454" i="1"/>
  <c r="B3454" i="1"/>
  <c r="E3454" i="1"/>
  <c r="H3454" i="1"/>
  <c r="I3454" i="1"/>
  <c r="A3459" i="1"/>
  <c r="B3459" i="1"/>
  <c r="E3459" i="1"/>
  <c r="H3459" i="1"/>
  <c r="I3459" i="1"/>
  <c r="A3464" i="1"/>
  <c r="B3464" i="1"/>
  <c r="E3464" i="1"/>
  <c r="H3464" i="1"/>
  <c r="I3464" i="1"/>
  <c r="A3466" i="1"/>
  <c r="B3466" i="1"/>
  <c r="E3466" i="1"/>
  <c r="H3466" i="1"/>
  <c r="I3466" i="1"/>
  <c r="A3468" i="1"/>
  <c r="B3468" i="1"/>
  <c r="E3468" i="1"/>
  <c r="H3468" i="1"/>
  <c r="I3468" i="1"/>
  <c r="A3465" i="1"/>
  <c r="B3465" i="1"/>
  <c r="E3465" i="1"/>
  <c r="H3465" i="1"/>
  <c r="I3465" i="1"/>
  <c r="A3467" i="1"/>
  <c r="B3467" i="1"/>
  <c r="E3467" i="1"/>
  <c r="H3467" i="1"/>
  <c r="I3467" i="1"/>
  <c r="A3528" i="1"/>
  <c r="B3528" i="1"/>
  <c r="E3528" i="1"/>
  <c r="H3528" i="1"/>
  <c r="I3528" i="1"/>
  <c r="A3514" i="1"/>
  <c r="B3514" i="1"/>
  <c r="E3514" i="1"/>
  <c r="H3514" i="1"/>
  <c r="I3514" i="1"/>
  <c r="A3544" i="1"/>
  <c r="B3544" i="1"/>
  <c r="E3544" i="1"/>
  <c r="H3544" i="1"/>
  <c r="I3544" i="1"/>
  <c r="A3512" i="1"/>
  <c r="B3512" i="1"/>
  <c r="E3512" i="1"/>
  <c r="H3512" i="1"/>
  <c r="I3512" i="1"/>
  <c r="A3531" i="1"/>
  <c r="B3531" i="1"/>
  <c r="E3531" i="1"/>
  <c r="H3531" i="1"/>
  <c r="I3531" i="1"/>
  <c r="A3534" i="1"/>
  <c r="B3534" i="1"/>
  <c r="E3534" i="1"/>
  <c r="H3534" i="1"/>
  <c r="I3534" i="1"/>
  <c r="A3538" i="1"/>
  <c r="B3538" i="1"/>
  <c r="E3538" i="1"/>
  <c r="H3538" i="1"/>
  <c r="I3538" i="1"/>
  <c r="A3532" i="1"/>
  <c r="B3532" i="1"/>
  <c r="E3532" i="1"/>
  <c r="H3532" i="1"/>
  <c r="I3532" i="1"/>
  <c r="A3525" i="1"/>
  <c r="B3525" i="1"/>
  <c r="E3525" i="1"/>
  <c r="H3525" i="1"/>
  <c r="I3525" i="1"/>
  <c r="A3003" i="1"/>
  <c r="B3003" i="1"/>
  <c r="E3003" i="1"/>
  <c r="H3003" i="1"/>
  <c r="I3003" i="1"/>
  <c r="A3004" i="1"/>
  <c r="B3004" i="1"/>
  <c r="E3004" i="1"/>
  <c r="H3004" i="1"/>
  <c r="I3004" i="1"/>
  <c r="A3019" i="1"/>
  <c r="B3019" i="1"/>
  <c r="E3019" i="1"/>
  <c r="H3019" i="1"/>
  <c r="I3019" i="1"/>
  <c r="A3020" i="1"/>
  <c r="B3020" i="1"/>
  <c r="E3020" i="1"/>
  <c r="H3020" i="1"/>
  <c r="I3020" i="1"/>
  <c r="A2994" i="1"/>
  <c r="B2994" i="1"/>
  <c r="E2994" i="1"/>
  <c r="H2994" i="1"/>
  <c r="I2994" i="1"/>
  <c r="A2995" i="1"/>
  <c r="B2995" i="1"/>
  <c r="E2995" i="1"/>
  <c r="H2995" i="1"/>
  <c r="I2995" i="1"/>
  <c r="A3009" i="1"/>
  <c r="B3009" i="1"/>
  <c r="E3009" i="1"/>
  <c r="H3009" i="1"/>
  <c r="I3009" i="1"/>
  <c r="A3010" i="1"/>
  <c r="B3010" i="1"/>
  <c r="E3010" i="1"/>
  <c r="H3010" i="1"/>
  <c r="I3010" i="1"/>
  <c r="A2998" i="1"/>
  <c r="B2998" i="1"/>
  <c r="E2998" i="1"/>
  <c r="H2998" i="1"/>
  <c r="I2998" i="1"/>
  <c r="A2999" i="1"/>
  <c r="B2999" i="1"/>
  <c r="E2999" i="1"/>
  <c r="H2999" i="1"/>
  <c r="I2999" i="1"/>
  <c r="A3011" i="1"/>
  <c r="B3011" i="1"/>
  <c r="E3011" i="1"/>
  <c r="H3011" i="1"/>
  <c r="I3011" i="1"/>
  <c r="A3012" i="1"/>
  <c r="B3012" i="1"/>
  <c r="E3012" i="1"/>
  <c r="H3012" i="1"/>
  <c r="I3012" i="1"/>
  <c r="A2993" i="1"/>
  <c r="B2993" i="1"/>
  <c r="E2993" i="1"/>
  <c r="H2993" i="1"/>
  <c r="I2993" i="1"/>
  <c r="A3023" i="1"/>
  <c r="B3023" i="1"/>
  <c r="E3023" i="1"/>
  <c r="H3023" i="1"/>
  <c r="I3023" i="1"/>
  <c r="A3000" i="1"/>
  <c r="B3000" i="1"/>
  <c r="E3000" i="1"/>
  <c r="H3000" i="1"/>
  <c r="I3000" i="1"/>
  <c r="A3001" i="1"/>
  <c r="B3001" i="1"/>
  <c r="E3001" i="1"/>
  <c r="H3001" i="1"/>
  <c r="I3001" i="1"/>
  <c r="A296" i="1"/>
  <c r="B296" i="1"/>
  <c r="E296" i="1"/>
  <c r="H296" i="1"/>
  <c r="I296" i="1"/>
  <c r="A301" i="1"/>
  <c r="B301" i="1"/>
  <c r="E301" i="1"/>
  <c r="H301" i="1"/>
  <c r="I301" i="1"/>
  <c r="A302" i="1"/>
  <c r="B302" i="1"/>
  <c r="E302" i="1"/>
  <c r="H302" i="1"/>
  <c r="I302" i="1"/>
  <c r="A284" i="1"/>
  <c r="B284" i="1"/>
  <c r="E284" i="1"/>
  <c r="H284" i="1"/>
  <c r="I284" i="1"/>
  <c r="A288" i="1"/>
  <c r="B288" i="1"/>
  <c r="E288" i="1"/>
  <c r="H288" i="1"/>
  <c r="I288" i="1"/>
  <c r="A289" i="1"/>
  <c r="B289" i="1"/>
  <c r="E289" i="1"/>
  <c r="H289" i="1"/>
  <c r="I289" i="1"/>
  <c r="A332" i="1"/>
  <c r="B332" i="1"/>
  <c r="E332" i="1"/>
  <c r="H332" i="1"/>
  <c r="I332" i="1"/>
  <c r="A316" i="1"/>
  <c r="B316" i="1"/>
  <c r="E316" i="1"/>
  <c r="H316" i="1"/>
  <c r="I316" i="1"/>
  <c r="A279" i="1"/>
  <c r="B279" i="1"/>
  <c r="E279" i="1"/>
  <c r="H279" i="1"/>
  <c r="I279" i="1"/>
  <c r="A280" i="1"/>
  <c r="B280" i="1"/>
  <c r="E280" i="1"/>
  <c r="H280" i="1"/>
  <c r="I280" i="1"/>
  <c r="A312" i="1"/>
  <c r="B312" i="1"/>
  <c r="E312" i="1"/>
  <c r="H312" i="1"/>
  <c r="I312" i="1"/>
  <c r="A277" i="1"/>
  <c r="B277" i="1"/>
  <c r="E277" i="1"/>
  <c r="H277" i="1"/>
  <c r="I277" i="1"/>
  <c r="A319" i="1"/>
  <c r="B319" i="1"/>
  <c r="E319" i="1"/>
  <c r="H319" i="1"/>
  <c r="I319" i="1"/>
  <c r="A351" i="1"/>
  <c r="B351" i="1"/>
  <c r="E351" i="1"/>
  <c r="H351" i="1"/>
  <c r="I351" i="1"/>
  <c r="A352" i="1"/>
  <c r="B352" i="1"/>
  <c r="E352" i="1"/>
  <c r="H352" i="1"/>
  <c r="I352" i="1"/>
  <c r="A286" i="1"/>
  <c r="B286" i="1"/>
  <c r="E286" i="1"/>
  <c r="H286" i="1"/>
  <c r="I286" i="1"/>
  <c r="A334" i="1"/>
  <c r="B334" i="1"/>
  <c r="E334" i="1"/>
  <c r="H334" i="1"/>
  <c r="I334" i="1"/>
  <c r="A348" i="1"/>
  <c r="B348" i="1"/>
  <c r="E348" i="1"/>
  <c r="H348" i="1"/>
  <c r="I348" i="1"/>
  <c r="A294" i="1"/>
  <c r="B294" i="1"/>
  <c r="E294" i="1"/>
  <c r="H294" i="1"/>
  <c r="I294" i="1"/>
  <c r="A321" i="1"/>
  <c r="B321" i="1"/>
  <c r="E321" i="1"/>
  <c r="H321" i="1"/>
  <c r="I321" i="1"/>
  <c r="A323" i="1"/>
  <c r="B323" i="1"/>
  <c r="E323" i="1"/>
  <c r="H323" i="1"/>
  <c r="I323" i="1"/>
  <c r="A339" i="1"/>
  <c r="B339" i="1"/>
  <c r="E339" i="1"/>
  <c r="H339" i="1"/>
  <c r="I339" i="1"/>
  <c r="A358" i="1"/>
  <c r="B358" i="1"/>
  <c r="E358" i="1"/>
  <c r="H358" i="1"/>
  <c r="I358" i="1"/>
  <c r="A308" i="1"/>
  <c r="B308" i="1"/>
  <c r="E308" i="1"/>
  <c r="H308" i="1"/>
  <c r="I308" i="1"/>
  <c r="A298" i="1"/>
  <c r="B298" i="1"/>
  <c r="E298" i="1"/>
  <c r="H298" i="1"/>
  <c r="I298" i="1"/>
  <c r="A310" i="1"/>
  <c r="B310" i="1"/>
  <c r="E310" i="1"/>
  <c r="H310" i="1"/>
  <c r="I310" i="1"/>
  <c r="A292" i="1"/>
  <c r="B292" i="1"/>
  <c r="E292" i="1"/>
  <c r="H292" i="1"/>
  <c r="I292" i="1"/>
  <c r="A344" i="1"/>
  <c r="B344" i="1"/>
  <c r="E344" i="1"/>
  <c r="H344" i="1"/>
  <c r="I344" i="1"/>
  <c r="A307" i="1"/>
  <c r="B307" i="1"/>
  <c r="E307" i="1"/>
  <c r="H307" i="1"/>
  <c r="I307" i="1"/>
  <c r="A285" i="1"/>
  <c r="B285" i="1"/>
  <c r="E285" i="1"/>
  <c r="H285" i="1"/>
  <c r="I285" i="1"/>
  <c r="A330" i="1"/>
  <c r="B330" i="1"/>
  <c r="E330" i="1"/>
  <c r="H330" i="1"/>
  <c r="I330" i="1"/>
  <c r="A290" i="1"/>
  <c r="B290" i="1"/>
  <c r="E290" i="1"/>
  <c r="H290" i="1"/>
  <c r="I290" i="1"/>
  <c r="A354" i="1"/>
  <c r="B354" i="1"/>
  <c r="E354" i="1"/>
  <c r="H354" i="1"/>
  <c r="I354" i="1"/>
  <c r="A349" i="1"/>
  <c r="B349" i="1"/>
  <c r="E349" i="1"/>
  <c r="H349" i="1"/>
  <c r="I349" i="1"/>
  <c r="A362" i="1"/>
  <c r="B362" i="1"/>
  <c r="E362" i="1"/>
  <c r="H362" i="1"/>
  <c r="I362" i="1"/>
  <c r="A337" i="1"/>
  <c r="B337" i="1"/>
  <c r="E337" i="1"/>
  <c r="H337" i="1"/>
  <c r="I337" i="1"/>
  <c r="A364" i="1"/>
  <c r="B364" i="1"/>
  <c r="E364" i="1"/>
  <c r="H364" i="1"/>
  <c r="I364" i="1"/>
  <c r="A357" i="1"/>
  <c r="B357" i="1"/>
  <c r="E357" i="1"/>
  <c r="H357" i="1"/>
  <c r="I357" i="1"/>
  <c r="A324" i="1"/>
  <c r="B324" i="1"/>
  <c r="E324" i="1"/>
  <c r="H324" i="1"/>
  <c r="I324" i="1"/>
  <c r="A414" i="1"/>
  <c r="B414" i="1"/>
  <c r="E414" i="1"/>
  <c r="H414" i="1"/>
  <c r="I414" i="1"/>
  <c r="A417" i="1"/>
  <c r="B417" i="1"/>
  <c r="E417" i="1"/>
  <c r="H417" i="1"/>
  <c r="I417" i="1"/>
  <c r="A419" i="1"/>
  <c r="B419" i="1"/>
  <c r="E419" i="1"/>
  <c r="H419" i="1"/>
  <c r="I419" i="1"/>
  <c r="A423" i="1"/>
  <c r="B423" i="1"/>
  <c r="E423" i="1"/>
  <c r="H423" i="1"/>
  <c r="I423" i="1"/>
  <c r="A421" i="1"/>
  <c r="B421" i="1"/>
  <c r="E421" i="1"/>
  <c r="H421" i="1"/>
  <c r="I421" i="1"/>
  <c r="A416" i="1"/>
  <c r="B416" i="1"/>
  <c r="E416" i="1"/>
  <c r="H416" i="1"/>
  <c r="I416" i="1"/>
  <c r="A427" i="1"/>
  <c r="B427" i="1"/>
  <c r="E427" i="1"/>
  <c r="H427" i="1"/>
  <c r="I427" i="1"/>
  <c r="A428" i="1"/>
  <c r="B428" i="1"/>
  <c r="E428" i="1"/>
  <c r="H428" i="1"/>
  <c r="I428" i="1"/>
  <c r="A445" i="1"/>
  <c r="B445" i="1"/>
  <c r="E445" i="1"/>
  <c r="H445" i="1"/>
  <c r="I445" i="1"/>
  <c r="A430" i="1"/>
  <c r="B430" i="1"/>
  <c r="E430" i="1"/>
  <c r="H430" i="1"/>
  <c r="I430" i="1"/>
  <c r="A457" i="1"/>
  <c r="B457" i="1"/>
  <c r="E457" i="1"/>
  <c r="H457" i="1"/>
  <c r="I457" i="1"/>
  <c r="A455" i="1"/>
  <c r="B455" i="1"/>
  <c r="E455" i="1"/>
  <c r="H455" i="1"/>
  <c r="I455" i="1"/>
  <c r="A432" i="1"/>
  <c r="B432" i="1"/>
  <c r="E432" i="1"/>
  <c r="H432" i="1"/>
  <c r="I432" i="1"/>
  <c r="A436" i="1"/>
  <c r="B436" i="1"/>
  <c r="E436" i="1"/>
  <c r="H436" i="1"/>
  <c r="I436" i="1"/>
  <c r="A434" i="1"/>
  <c r="B434" i="1"/>
  <c r="E434" i="1"/>
  <c r="H434" i="1"/>
  <c r="I434" i="1"/>
  <c r="A453" i="1"/>
  <c r="B453" i="1"/>
  <c r="E453" i="1"/>
  <c r="H453" i="1"/>
  <c r="I453" i="1"/>
  <c r="A438" i="1"/>
  <c r="B438" i="1"/>
  <c r="E438" i="1"/>
  <c r="H438" i="1"/>
  <c r="I438" i="1"/>
  <c r="A448" i="1"/>
  <c r="B448" i="1"/>
  <c r="E448" i="1"/>
  <c r="H448" i="1"/>
  <c r="I448" i="1"/>
  <c r="A450" i="1"/>
  <c r="B450" i="1"/>
  <c r="E450" i="1"/>
  <c r="H450" i="1"/>
  <c r="I450" i="1"/>
  <c r="A449" i="1"/>
  <c r="B449" i="1"/>
  <c r="E449" i="1"/>
  <c r="H449" i="1"/>
  <c r="I449" i="1"/>
  <c r="A439" i="1"/>
  <c r="B439" i="1"/>
  <c r="E439" i="1"/>
  <c r="H439" i="1"/>
  <c r="I439" i="1"/>
  <c r="A443" i="1"/>
  <c r="B443" i="1"/>
  <c r="E443" i="1"/>
  <c r="H443" i="1"/>
  <c r="I443" i="1"/>
  <c r="A441" i="1"/>
  <c r="B441" i="1"/>
  <c r="E441" i="1"/>
  <c r="H441" i="1"/>
  <c r="I441" i="1"/>
  <c r="A463" i="1"/>
  <c r="B463" i="1"/>
  <c r="E463" i="1"/>
  <c r="H463" i="1"/>
  <c r="I463" i="1"/>
  <c r="A504" i="1"/>
  <c r="B504" i="1"/>
  <c r="E504" i="1"/>
  <c r="H504" i="1"/>
  <c r="I504" i="1"/>
  <c r="A500" i="1"/>
  <c r="B500" i="1"/>
  <c r="E500" i="1"/>
  <c r="H500" i="1"/>
  <c r="I500" i="1"/>
  <c r="A513" i="1"/>
  <c r="B513" i="1"/>
  <c r="E513" i="1"/>
  <c r="H513" i="1"/>
  <c r="I513" i="1"/>
  <c r="A511" i="1"/>
  <c r="B511" i="1"/>
  <c r="E511" i="1"/>
  <c r="H511" i="1"/>
  <c r="I511" i="1"/>
  <c r="A509" i="1"/>
  <c r="B509" i="1"/>
  <c r="E509" i="1"/>
  <c r="H509" i="1"/>
  <c r="I509" i="1"/>
  <c r="A507" i="1"/>
  <c r="B507" i="1"/>
  <c r="E507" i="1"/>
  <c r="H507" i="1"/>
  <c r="I507" i="1"/>
  <c r="A503" i="1"/>
  <c r="B503" i="1"/>
  <c r="E503" i="1"/>
  <c r="H503" i="1"/>
  <c r="I503" i="1"/>
  <c r="A498" i="1"/>
  <c r="B498" i="1"/>
  <c r="E498" i="1"/>
  <c r="H498" i="1"/>
  <c r="I498" i="1"/>
  <c r="A517" i="1"/>
  <c r="B517" i="1"/>
  <c r="E517" i="1"/>
  <c r="H517" i="1"/>
  <c r="I517" i="1"/>
  <c r="A510" i="1"/>
  <c r="B510" i="1"/>
  <c r="E510" i="1"/>
  <c r="H510" i="1"/>
  <c r="I510" i="1"/>
  <c r="A518" i="1"/>
  <c r="B518" i="1"/>
  <c r="E518" i="1"/>
  <c r="H518" i="1"/>
  <c r="I518" i="1"/>
  <c r="A523" i="1"/>
  <c r="B523" i="1"/>
  <c r="E523" i="1"/>
  <c r="H523" i="1"/>
  <c r="I523" i="1"/>
  <c r="A527" i="1"/>
  <c r="B527" i="1"/>
  <c r="E527" i="1"/>
  <c r="H527" i="1"/>
  <c r="I527" i="1"/>
  <c r="A524" i="1"/>
  <c r="B524" i="1"/>
  <c r="E524" i="1"/>
  <c r="H524" i="1"/>
  <c r="I524" i="1"/>
  <c r="A520" i="1"/>
  <c r="B520" i="1"/>
  <c r="E520" i="1"/>
  <c r="H520" i="1"/>
  <c r="I520" i="1"/>
  <c r="A530" i="1"/>
  <c r="B530" i="1"/>
  <c r="E530" i="1"/>
  <c r="H530" i="1"/>
  <c r="I530" i="1"/>
  <c r="A424" i="1"/>
  <c r="B424" i="1"/>
  <c r="E424" i="1"/>
  <c r="H424" i="1"/>
  <c r="I424" i="1"/>
  <c r="A545" i="1"/>
  <c r="B545" i="1"/>
  <c r="E545" i="1"/>
  <c r="H545" i="1"/>
  <c r="I545" i="1"/>
  <c r="A3598" i="1"/>
  <c r="B3598" i="1"/>
  <c r="E3598" i="1"/>
  <c r="H3598" i="1"/>
  <c r="I3598" i="1"/>
  <c r="A3590" i="1"/>
  <c r="B3590" i="1"/>
  <c r="E3590" i="1"/>
  <c r="H3590" i="1"/>
  <c r="I3590" i="1"/>
  <c r="A3608" i="1"/>
  <c r="B3608" i="1"/>
  <c r="E3608" i="1"/>
  <c r="H3608" i="1"/>
  <c r="I3608" i="1"/>
  <c r="A458" i="1"/>
  <c r="B458" i="1"/>
  <c r="E458" i="1"/>
  <c r="H458" i="1"/>
  <c r="I458" i="1"/>
  <c r="A459" i="1"/>
  <c r="B459" i="1"/>
  <c r="E459" i="1"/>
  <c r="H459" i="1"/>
  <c r="I459" i="1"/>
  <c r="A651" i="1"/>
  <c r="B651" i="1"/>
  <c r="E651" i="1"/>
  <c r="H651" i="1"/>
  <c r="I651" i="1"/>
  <c r="A652" i="1"/>
  <c r="B652" i="1"/>
  <c r="E652" i="1"/>
  <c r="H652" i="1"/>
  <c r="I652" i="1"/>
  <c r="A658" i="1"/>
  <c r="B658" i="1"/>
  <c r="E658" i="1"/>
  <c r="H658" i="1"/>
  <c r="I658" i="1"/>
  <c r="A659" i="1"/>
  <c r="B659" i="1"/>
  <c r="E659" i="1"/>
  <c r="H659" i="1"/>
  <c r="I659" i="1"/>
  <c r="A649" i="1"/>
  <c r="B649" i="1"/>
  <c r="E649" i="1"/>
  <c r="H649" i="1"/>
  <c r="I649" i="1"/>
  <c r="A650" i="1"/>
  <c r="B650" i="1"/>
  <c r="E650" i="1"/>
  <c r="H650" i="1"/>
  <c r="I650" i="1"/>
  <c r="A653" i="1"/>
  <c r="B653" i="1"/>
  <c r="E653" i="1"/>
  <c r="H653" i="1"/>
  <c r="I653" i="1"/>
  <c r="A654" i="1"/>
  <c r="B654" i="1"/>
  <c r="E654" i="1"/>
  <c r="H654" i="1"/>
  <c r="I654" i="1"/>
  <c r="A645" i="1"/>
  <c r="B645" i="1"/>
  <c r="E645" i="1"/>
  <c r="H645" i="1"/>
  <c r="I645" i="1"/>
  <c r="A646" i="1"/>
  <c r="B646" i="1"/>
  <c r="E646" i="1"/>
  <c r="H646" i="1"/>
  <c r="I646" i="1"/>
  <c r="A647" i="1"/>
  <c r="B647" i="1"/>
  <c r="E647" i="1"/>
  <c r="H647" i="1"/>
  <c r="I647" i="1"/>
  <c r="A648" i="1"/>
  <c r="B648" i="1"/>
  <c r="E648" i="1"/>
  <c r="H648" i="1"/>
  <c r="I648" i="1"/>
  <c r="A660" i="1"/>
  <c r="B660" i="1"/>
  <c r="E660" i="1"/>
  <c r="H660" i="1"/>
  <c r="I660" i="1"/>
  <c r="A661" i="1"/>
  <c r="B661" i="1"/>
  <c r="E661" i="1"/>
  <c r="H661" i="1"/>
  <c r="I661" i="1"/>
  <c r="A668" i="1"/>
  <c r="B668" i="1"/>
  <c r="E668" i="1"/>
  <c r="H668" i="1"/>
  <c r="I668" i="1"/>
  <c r="A669" i="1"/>
  <c r="B669" i="1"/>
  <c r="E669" i="1"/>
  <c r="H669" i="1"/>
  <c r="I669" i="1"/>
  <c r="A637" i="1"/>
  <c r="B637" i="1"/>
  <c r="E637" i="1"/>
  <c r="H637" i="1"/>
  <c r="I637" i="1"/>
  <c r="A638" i="1"/>
  <c r="B638" i="1"/>
  <c r="E638" i="1"/>
  <c r="H638" i="1"/>
  <c r="I638" i="1"/>
  <c r="A666" i="1"/>
  <c r="B666" i="1"/>
  <c r="E666" i="1"/>
  <c r="H666" i="1"/>
  <c r="I666" i="1"/>
  <c r="A667" i="1"/>
  <c r="B667" i="1"/>
  <c r="E667" i="1"/>
  <c r="H667" i="1"/>
  <c r="I667" i="1"/>
  <c r="A662" i="1"/>
  <c r="B662" i="1"/>
  <c r="E662" i="1"/>
  <c r="H662" i="1"/>
  <c r="I662" i="1"/>
  <c r="A663" i="1"/>
  <c r="B663" i="1"/>
  <c r="E663" i="1"/>
  <c r="H663" i="1"/>
  <c r="I663" i="1"/>
  <c r="A643" i="1"/>
  <c r="B643" i="1"/>
  <c r="E643" i="1"/>
  <c r="H643" i="1"/>
  <c r="I643" i="1"/>
  <c r="A644" i="1"/>
  <c r="B644" i="1"/>
  <c r="E644" i="1"/>
  <c r="H644" i="1"/>
  <c r="I644" i="1"/>
  <c r="A639" i="1"/>
  <c r="B639" i="1"/>
  <c r="E639" i="1"/>
  <c r="H639" i="1"/>
  <c r="I639" i="1"/>
  <c r="A640" i="1"/>
  <c r="B640" i="1"/>
  <c r="E640" i="1"/>
  <c r="H640" i="1"/>
  <c r="I640" i="1"/>
  <c r="A655" i="1"/>
  <c r="B655" i="1"/>
  <c r="E655" i="1"/>
  <c r="H655" i="1"/>
  <c r="I655" i="1"/>
  <c r="A656" i="1"/>
  <c r="B656" i="1"/>
  <c r="E656" i="1"/>
  <c r="H656" i="1"/>
  <c r="I656" i="1"/>
  <c r="A657" i="1"/>
  <c r="B657" i="1"/>
  <c r="E657" i="1"/>
  <c r="H657" i="1"/>
  <c r="I657" i="1"/>
  <c r="A641" i="1"/>
  <c r="B641" i="1"/>
  <c r="E641" i="1"/>
  <c r="H641" i="1"/>
  <c r="I641" i="1"/>
  <c r="A642" i="1"/>
  <c r="B642" i="1"/>
  <c r="E642" i="1"/>
  <c r="H642" i="1"/>
  <c r="I642" i="1"/>
  <c r="A664" i="1"/>
  <c r="B664" i="1"/>
  <c r="E664" i="1"/>
  <c r="H664" i="1"/>
  <c r="I664" i="1"/>
  <c r="A665" i="1"/>
  <c r="B665" i="1"/>
  <c r="E665" i="1"/>
  <c r="H665" i="1"/>
  <c r="I665" i="1"/>
  <c r="A675" i="1"/>
  <c r="B675" i="1"/>
  <c r="E675" i="1"/>
  <c r="H675" i="1"/>
  <c r="I675" i="1"/>
  <c r="A1203" i="1"/>
  <c r="B1203" i="1"/>
  <c r="E1203" i="1"/>
  <c r="H1203" i="1"/>
  <c r="I1203" i="1"/>
  <c r="A1206" i="1"/>
  <c r="B1206" i="1"/>
  <c r="E1206" i="1"/>
  <c r="H1206" i="1"/>
  <c r="I1206" i="1"/>
  <c r="A736" i="1"/>
  <c r="B736" i="1"/>
  <c r="E736" i="1"/>
  <c r="H736" i="1"/>
  <c r="I736" i="1"/>
  <c r="A750" i="1"/>
  <c r="B750" i="1"/>
  <c r="E750" i="1"/>
  <c r="H750" i="1"/>
  <c r="I750" i="1"/>
  <c r="A760" i="1"/>
  <c r="B760" i="1"/>
  <c r="E760" i="1"/>
  <c r="H760" i="1"/>
  <c r="I760" i="1"/>
  <c r="A778" i="1"/>
  <c r="B778" i="1"/>
  <c r="E778" i="1"/>
  <c r="H778" i="1"/>
  <c r="I778" i="1"/>
  <c r="A786" i="1"/>
  <c r="B786" i="1"/>
  <c r="E786" i="1"/>
  <c r="H786" i="1"/>
  <c r="I786" i="1"/>
  <c r="A3049" i="1"/>
  <c r="B3049" i="1"/>
  <c r="E3049" i="1"/>
  <c r="H3049" i="1"/>
  <c r="I3049" i="1"/>
  <c r="A164" i="1"/>
  <c r="B164" i="1"/>
  <c r="E164" i="1"/>
  <c r="H164" i="1"/>
  <c r="I164" i="1"/>
  <c r="A619" i="1"/>
  <c r="B619" i="1"/>
  <c r="E619" i="1"/>
  <c r="H619" i="1"/>
  <c r="I619" i="1"/>
  <c r="A590" i="1"/>
  <c r="B590" i="1"/>
  <c r="E590" i="1"/>
  <c r="H590" i="1"/>
  <c r="I590" i="1"/>
  <c r="A1391" i="1"/>
  <c r="B1391" i="1"/>
  <c r="E1391" i="1"/>
  <c r="H1391" i="1"/>
  <c r="I1391" i="1"/>
  <c r="A1320" i="1"/>
  <c r="B1320" i="1"/>
  <c r="E1320" i="1"/>
  <c r="H1320" i="1"/>
  <c r="I1320" i="1"/>
  <c r="A1318" i="1"/>
  <c r="B1318" i="1"/>
  <c r="E1318" i="1"/>
  <c r="H1318" i="1"/>
  <c r="I1318" i="1"/>
  <c r="A1377" i="1"/>
  <c r="B1377" i="1"/>
  <c r="E1377" i="1"/>
  <c r="H1377" i="1"/>
  <c r="I1377" i="1"/>
  <c r="A1406" i="1"/>
  <c r="B1406" i="1"/>
  <c r="E1406" i="1"/>
  <c r="H1406" i="1"/>
  <c r="I1406" i="1"/>
  <c r="A2417" i="1"/>
  <c r="B2417" i="1"/>
  <c r="E2417" i="1"/>
  <c r="H2417" i="1"/>
  <c r="I2417" i="1"/>
  <c r="A2444" i="1"/>
  <c r="B2444" i="1"/>
  <c r="E2444" i="1"/>
  <c r="H2444" i="1"/>
  <c r="I2444" i="1"/>
  <c r="A2663" i="1"/>
  <c r="B2663" i="1"/>
  <c r="E2663" i="1"/>
  <c r="H2663" i="1"/>
  <c r="I2663" i="1"/>
  <c r="A2615" i="1"/>
  <c r="B2615" i="1"/>
  <c r="E2615" i="1"/>
  <c r="H2615" i="1"/>
  <c r="I2615" i="1"/>
  <c r="A2616" i="1"/>
  <c r="B2616" i="1"/>
  <c r="E2616" i="1"/>
  <c r="H2616" i="1"/>
  <c r="I2616" i="1"/>
  <c r="A2672" i="1"/>
  <c r="B2672" i="1"/>
  <c r="E2672" i="1"/>
  <c r="H2672" i="1"/>
  <c r="I2672" i="1"/>
  <c r="A2770" i="1"/>
  <c r="B2770" i="1"/>
  <c r="E2770" i="1"/>
  <c r="H2770" i="1"/>
  <c r="I2770" i="1"/>
  <c r="A1814" i="1"/>
  <c r="B1814" i="1"/>
  <c r="E1814" i="1"/>
  <c r="H1814" i="1"/>
  <c r="I1814" i="1"/>
  <c r="A676" i="1"/>
  <c r="B676" i="1"/>
  <c r="E676" i="1"/>
  <c r="H676" i="1"/>
  <c r="I676" i="1"/>
  <c r="A56" i="1"/>
  <c r="B56" i="1"/>
  <c r="E56" i="1"/>
  <c r="H56" i="1"/>
  <c r="I56" i="1"/>
  <c r="A77" i="1"/>
  <c r="B77" i="1"/>
  <c r="E77" i="1"/>
  <c r="H77" i="1"/>
  <c r="I77" i="1"/>
  <c r="A75" i="1"/>
  <c r="B75" i="1"/>
  <c r="E75" i="1"/>
  <c r="H75" i="1"/>
  <c r="I75" i="1"/>
  <c r="A728" i="1"/>
  <c r="B728" i="1"/>
  <c r="E728" i="1"/>
  <c r="H728" i="1"/>
  <c r="I728" i="1"/>
  <c r="A616" i="1"/>
  <c r="B616" i="1"/>
  <c r="E616" i="1"/>
  <c r="H616" i="1"/>
  <c r="I616" i="1"/>
  <c r="A627" i="1"/>
  <c r="B627" i="1"/>
  <c r="E627" i="1"/>
  <c r="H627" i="1"/>
  <c r="I627" i="1"/>
  <c r="A1708" i="1"/>
  <c r="B1708" i="1"/>
  <c r="E1708" i="1"/>
  <c r="H1708" i="1"/>
  <c r="I1708" i="1"/>
  <c r="A1707" i="1"/>
  <c r="B1707" i="1"/>
  <c r="E1707" i="1"/>
  <c r="H1707" i="1"/>
  <c r="I1707" i="1"/>
  <c r="A1705" i="1"/>
  <c r="B1705" i="1"/>
  <c r="E1705" i="1"/>
  <c r="H1705" i="1"/>
  <c r="I1705" i="1"/>
  <c r="A1706" i="1"/>
  <c r="B1706" i="1"/>
  <c r="E1706" i="1"/>
  <c r="H1706" i="1"/>
  <c r="I1706" i="1"/>
  <c r="A2484" i="1"/>
  <c r="B2484" i="1"/>
  <c r="E2484" i="1"/>
  <c r="H2484" i="1"/>
  <c r="I2484" i="1"/>
  <c r="A2135" i="1"/>
  <c r="B2135" i="1"/>
  <c r="E2135" i="1"/>
  <c r="H2135" i="1"/>
  <c r="I2135" i="1"/>
  <c r="A2136" i="1"/>
  <c r="B2136" i="1"/>
  <c r="E2136" i="1"/>
  <c r="H2136" i="1"/>
  <c r="I2136" i="1"/>
  <c r="A2211" i="1"/>
  <c r="B2211" i="1"/>
  <c r="E2211" i="1"/>
  <c r="H2211" i="1"/>
  <c r="I2211" i="1"/>
  <c r="A2183" i="1"/>
  <c r="B2183" i="1"/>
  <c r="E2183" i="1"/>
  <c r="H2183" i="1"/>
  <c r="I2183" i="1"/>
  <c r="A2304" i="1"/>
  <c r="B2304" i="1"/>
  <c r="E2304" i="1"/>
  <c r="H2304" i="1"/>
  <c r="I2304" i="1"/>
  <c r="A2327" i="1"/>
  <c r="B2327" i="1"/>
  <c r="E2327" i="1"/>
  <c r="H2327" i="1"/>
  <c r="I2327" i="1"/>
  <c r="A2317" i="1"/>
  <c r="B2317" i="1"/>
  <c r="E2317" i="1"/>
  <c r="H2317" i="1"/>
  <c r="I2317" i="1"/>
  <c r="A2312" i="1"/>
  <c r="B2312" i="1"/>
  <c r="E2312" i="1"/>
  <c r="H2312" i="1"/>
  <c r="I2312" i="1"/>
  <c r="A2318" i="1"/>
  <c r="B2318" i="1"/>
  <c r="E2318" i="1"/>
  <c r="H2318" i="1"/>
  <c r="I2318" i="1"/>
  <c r="A2306" i="1"/>
  <c r="B2306" i="1"/>
  <c r="E2306" i="1"/>
  <c r="H2306" i="1"/>
  <c r="I2306" i="1"/>
  <c r="A2323" i="1"/>
  <c r="B2323" i="1"/>
  <c r="E2323" i="1"/>
  <c r="H2323" i="1"/>
  <c r="I2323" i="1"/>
  <c r="A2309" i="1"/>
  <c r="B2309" i="1"/>
  <c r="E2309" i="1"/>
  <c r="H2309" i="1"/>
  <c r="I2309" i="1"/>
  <c r="A1811" i="1"/>
  <c r="B1811" i="1"/>
  <c r="E1811" i="1"/>
  <c r="H1811" i="1"/>
  <c r="I1811" i="1"/>
  <c r="A1830" i="1"/>
  <c r="B1830" i="1"/>
  <c r="E1830" i="1"/>
  <c r="H1830" i="1"/>
  <c r="I1830" i="1"/>
  <c r="A1815" i="1"/>
  <c r="B1815" i="1"/>
  <c r="E1815" i="1"/>
  <c r="H1815" i="1"/>
  <c r="I1815" i="1"/>
  <c r="A1837" i="1"/>
  <c r="B1837" i="1"/>
  <c r="E1837" i="1"/>
  <c r="H1837" i="1"/>
  <c r="I1837" i="1"/>
  <c r="A2683" i="1"/>
  <c r="B2683" i="1"/>
  <c r="E2683" i="1"/>
  <c r="H2683" i="1"/>
  <c r="I2683" i="1"/>
  <c r="A680" i="1"/>
  <c r="B680" i="1"/>
  <c r="E680" i="1"/>
  <c r="H680" i="1"/>
  <c r="I680" i="1"/>
  <c r="A687" i="1"/>
  <c r="B687" i="1"/>
  <c r="E687" i="1"/>
  <c r="H687" i="1"/>
  <c r="I687" i="1"/>
  <c r="A678" i="1"/>
  <c r="B678" i="1"/>
  <c r="E678" i="1"/>
  <c r="H678" i="1"/>
  <c r="I678" i="1"/>
  <c r="A682" i="1"/>
  <c r="B682" i="1"/>
  <c r="E682" i="1"/>
  <c r="H682" i="1"/>
  <c r="I682" i="1"/>
  <c r="A693" i="1"/>
  <c r="B693" i="1"/>
  <c r="E693" i="1"/>
  <c r="H693" i="1"/>
  <c r="I693" i="1"/>
  <c r="A700" i="1"/>
  <c r="B700" i="1"/>
  <c r="E700" i="1"/>
  <c r="H700" i="1"/>
  <c r="I700" i="1"/>
  <c r="A3455" i="1"/>
  <c r="B3455" i="1"/>
  <c r="E3455" i="1"/>
  <c r="H3455" i="1"/>
  <c r="I3455" i="1"/>
  <c r="A460" i="1"/>
  <c r="B460" i="1"/>
  <c r="E460" i="1"/>
  <c r="H460" i="1"/>
  <c r="I460" i="1"/>
  <c r="A1731" i="1"/>
  <c r="B1731" i="1"/>
  <c r="E1731" i="1"/>
  <c r="H1731" i="1"/>
  <c r="I1731" i="1"/>
  <c r="A1768" i="1"/>
  <c r="B1768" i="1"/>
  <c r="E1768" i="1"/>
  <c r="H1768" i="1"/>
  <c r="I1768" i="1"/>
  <c r="A1748" i="1"/>
  <c r="B1748" i="1"/>
  <c r="E1748" i="1"/>
  <c r="H1748" i="1"/>
  <c r="I1748" i="1"/>
  <c r="A1726" i="1"/>
  <c r="B1726" i="1"/>
  <c r="E1726" i="1"/>
  <c r="H1726" i="1"/>
  <c r="I1726" i="1"/>
  <c r="A3529" i="1"/>
  <c r="B3529" i="1"/>
  <c r="E3529" i="1"/>
  <c r="H3529" i="1"/>
  <c r="I3529" i="1"/>
  <c r="A3536" i="1"/>
  <c r="B3536" i="1"/>
  <c r="E3536" i="1"/>
  <c r="H3536" i="1"/>
  <c r="I3536" i="1"/>
  <c r="A3521" i="1"/>
  <c r="B3521" i="1"/>
  <c r="E3521" i="1"/>
  <c r="H3521" i="1"/>
  <c r="I3521" i="1"/>
  <c r="A269" i="1"/>
  <c r="B269" i="1"/>
  <c r="E269" i="1"/>
  <c r="H269" i="1"/>
  <c r="I269" i="1"/>
  <c r="A271" i="1"/>
  <c r="B271" i="1"/>
  <c r="E271" i="1"/>
  <c r="H271" i="1"/>
  <c r="I271" i="1"/>
  <c r="A3385" i="1"/>
  <c r="B3385" i="1"/>
  <c r="E3385" i="1"/>
  <c r="H3385" i="1"/>
  <c r="I3385" i="1"/>
  <c r="A431" i="1"/>
  <c r="B431" i="1"/>
  <c r="E431" i="1"/>
  <c r="H431" i="1"/>
  <c r="I431" i="1"/>
  <c r="A96" i="1"/>
  <c r="B96" i="1"/>
  <c r="E96" i="1"/>
  <c r="H96" i="1"/>
  <c r="I96" i="1"/>
  <c r="A3114" i="1"/>
  <c r="B3114" i="1"/>
  <c r="E3114" i="1"/>
  <c r="H3114" i="1"/>
  <c r="I3114" i="1"/>
  <c r="A3121" i="1"/>
  <c r="B3121" i="1"/>
  <c r="E3121" i="1"/>
  <c r="H3121" i="1"/>
  <c r="I3121" i="1"/>
  <c r="A3126" i="1"/>
  <c r="B3126" i="1"/>
  <c r="E3126" i="1"/>
  <c r="H3126" i="1"/>
  <c r="I3126" i="1"/>
  <c r="A1784" i="1"/>
  <c r="B1784" i="1"/>
  <c r="E1784" i="1"/>
  <c r="H1784" i="1"/>
  <c r="I1784" i="1"/>
  <c r="A1824" i="1"/>
  <c r="B1824" i="1"/>
  <c r="E1824" i="1"/>
  <c r="H1824" i="1"/>
  <c r="I1824" i="1"/>
  <c r="A1809" i="1"/>
  <c r="B1809" i="1"/>
  <c r="E1809" i="1"/>
  <c r="H1809" i="1"/>
  <c r="I1809" i="1"/>
  <c r="A1816" i="1"/>
  <c r="B1816" i="1"/>
  <c r="E1816" i="1"/>
  <c r="H1816" i="1"/>
  <c r="I1816" i="1"/>
  <c r="A2684" i="1"/>
  <c r="B2684" i="1"/>
  <c r="E2684" i="1"/>
  <c r="H2684" i="1"/>
  <c r="I2684" i="1"/>
  <c r="A2667" i="1"/>
  <c r="B2667" i="1"/>
  <c r="E2667" i="1"/>
  <c r="H2667" i="1"/>
  <c r="I2667" i="1"/>
  <c r="A3132" i="1"/>
  <c r="B3132" i="1"/>
  <c r="E3132" i="1"/>
  <c r="H3132" i="1"/>
  <c r="I3132" i="1"/>
  <c r="A3095" i="1"/>
  <c r="B3095" i="1"/>
  <c r="E3095" i="1"/>
  <c r="H3095" i="1"/>
  <c r="I3095" i="1"/>
  <c r="A3094" i="1"/>
  <c r="B3094" i="1"/>
  <c r="E3094" i="1"/>
  <c r="H3094" i="1"/>
  <c r="I3094" i="1"/>
  <c r="A3115" i="1"/>
  <c r="B3115" i="1"/>
  <c r="E3115" i="1"/>
  <c r="H3115" i="1"/>
  <c r="I3115" i="1"/>
  <c r="A3116" i="1"/>
  <c r="B3116" i="1"/>
  <c r="E3116" i="1"/>
  <c r="H3116" i="1"/>
  <c r="I3116" i="1"/>
  <c r="A3099" i="1"/>
  <c r="B3099" i="1"/>
  <c r="E3099" i="1"/>
  <c r="H3099" i="1"/>
  <c r="I3099" i="1"/>
  <c r="A3101" i="1"/>
  <c r="B3101" i="1"/>
  <c r="E3101" i="1"/>
  <c r="H3101" i="1"/>
  <c r="I3101" i="1"/>
  <c r="A3130" i="1"/>
  <c r="B3130" i="1"/>
  <c r="E3130" i="1"/>
  <c r="H3130" i="1"/>
  <c r="I3130" i="1"/>
  <c r="A3120" i="1"/>
  <c r="B3120" i="1"/>
  <c r="E3120" i="1"/>
  <c r="H3120" i="1"/>
  <c r="I3120" i="1"/>
  <c r="A3092" i="1"/>
  <c r="B3092" i="1"/>
  <c r="E3092" i="1"/>
  <c r="H3092" i="1"/>
  <c r="I3092" i="1"/>
  <c r="A3102" i="1"/>
  <c r="B3102" i="1"/>
  <c r="E3102" i="1"/>
  <c r="H3102" i="1"/>
  <c r="I3102" i="1"/>
  <c r="A3097" i="1"/>
  <c r="B3097" i="1"/>
  <c r="E3097" i="1"/>
  <c r="H3097" i="1"/>
  <c r="I3097" i="1"/>
  <c r="A3090" i="1"/>
  <c r="B3090" i="1"/>
  <c r="E3090" i="1"/>
  <c r="H3090" i="1"/>
  <c r="I3090" i="1"/>
  <c r="A3118" i="1"/>
  <c r="B3118" i="1"/>
  <c r="E3118" i="1"/>
  <c r="H3118" i="1"/>
  <c r="I3118" i="1"/>
  <c r="A3122" i="1"/>
  <c r="B3122" i="1"/>
  <c r="E3122" i="1"/>
  <c r="H3122" i="1"/>
  <c r="I3122" i="1"/>
  <c r="A3123" i="1"/>
  <c r="B3123" i="1"/>
  <c r="E3123" i="1"/>
  <c r="H3123" i="1"/>
  <c r="I3123" i="1"/>
  <c r="A3106" i="1"/>
  <c r="B3106" i="1"/>
  <c r="E3106" i="1"/>
  <c r="H3106" i="1"/>
  <c r="I3106" i="1"/>
  <c r="A3125" i="1"/>
  <c r="B3125" i="1"/>
  <c r="E3125" i="1"/>
  <c r="H3125" i="1"/>
  <c r="I3125" i="1"/>
  <c r="A3127" i="1"/>
  <c r="B3127" i="1"/>
  <c r="E3127" i="1"/>
  <c r="H3127" i="1"/>
  <c r="I3127" i="1"/>
  <c r="A3129" i="1"/>
  <c r="B3129" i="1"/>
  <c r="E3129" i="1"/>
  <c r="H3129" i="1"/>
  <c r="I3129" i="1"/>
  <c r="A388" i="1"/>
  <c r="B388" i="1"/>
  <c r="E388" i="1"/>
  <c r="H388" i="1"/>
  <c r="I388" i="1"/>
  <c r="A389" i="1"/>
  <c r="B389" i="1"/>
  <c r="E389" i="1"/>
  <c r="H389" i="1"/>
  <c r="I389" i="1"/>
  <c r="A386" i="1"/>
  <c r="B386" i="1"/>
  <c r="E386" i="1"/>
  <c r="H386" i="1"/>
  <c r="I386" i="1"/>
  <c r="A387" i="1"/>
  <c r="B387" i="1"/>
  <c r="E387" i="1"/>
  <c r="H387" i="1"/>
  <c r="I387" i="1"/>
  <c r="A376" i="1"/>
  <c r="B376" i="1"/>
  <c r="E376" i="1"/>
  <c r="H376" i="1"/>
  <c r="I376" i="1"/>
  <c r="A377" i="1"/>
  <c r="B377" i="1"/>
  <c r="E377" i="1"/>
  <c r="H377" i="1"/>
  <c r="I377" i="1"/>
  <c r="A372" i="1"/>
  <c r="B372" i="1"/>
  <c r="E372" i="1"/>
  <c r="H372" i="1"/>
  <c r="I372" i="1"/>
  <c r="A373" i="1"/>
  <c r="B373" i="1"/>
  <c r="E373" i="1"/>
  <c r="H373" i="1"/>
  <c r="I373" i="1"/>
  <c r="A374" i="1"/>
  <c r="B374" i="1"/>
  <c r="E374" i="1"/>
  <c r="H374" i="1"/>
  <c r="I374" i="1"/>
  <c r="A375" i="1"/>
  <c r="B375" i="1"/>
  <c r="E375" i="1"/>
  <c r="H375" i="1"/>
  <c r="I375" i="1"/>
  <c r="A382" i="1"/>
  <c r="B382" i="1"/>
  <c r="E382" i="1"/>
  <c r="H382" i="1"/>
  <c r="I382" i="1"/>
  <c r="A383" i="1"/>
  <c r="B383" i="1"/>
  <c r="E383" i="1"/>
  <c r="H383" i="1"/>
  <c r="I383" i="1"/>
  <c r="A369" i="1"/>
  <c r="B369" i="1"/>
  <c r="E369" i="1"/>
  <c r="H369" i="1"/>
  <c r="I369" i="1"/>
  <c r="A370" i="1"/>
  <c r="B370" i="1"/>
  <c r="E370" i="1"/>
  <c r="H370" i="1"/>
  <c r="I370" i="1"/>
  <c r="A380" i="1"/>
  <c r="B380" i="1"/>
  <c r="E380" i="1"/>
  <c r="H380" i="1"/>
  <c r="I380" i="1"/>
  <c r="A381" i="1"/>
  <c r="B381" i="1"/>
  <c r="E381" i="1"/>
  <c r="H381" i="1"/>
  <c r="I381" i="1"/>
  <c r="A371" i="1"/>
  <c r="B371" i="1"/>
  <c r="E371" i="1"/>
  <c r="H371" i="1"/>
  <c r="I371" i="1"/>
  <c r="A402" i="1"/>
  <c r="B402" i="1"/>
  <c r="E402" i="1"/>
  <c r="H402" i="1"/>
  <c r="I402" i="1"/>
  <c r="A367" i="1"/>
  <c r="B367" i="1"/>
  <c r="E367" i="1"/>
  <c r="H367" i="1"/>
  <c r="I367" i="1"/>
  <c r="A368" i="1"/>
  <c r="B368" i="1"/>
  <c r="E368" i="1"/>
  <c r="H368" i="1"/>
  <c r="I368" i="1"/>
  <c r="A365" i="1"/>
  <c r="B365" i="1"/>
  <c r="E365" i="1"/>
  <c r="H365" i="1"/>
  <c r="I365" i="1"/>
  <c r="A366" i="1"/>
  <c r="B366" i="1"/>
  <c r="E366" i="1"/>
  <c r="H366" i="1"/>
  <c r="I366" i="1"/>
  <c r="A398" i="1"/>
  <c r="B398" i="1"/>
  <c r="E398" i="1"/>
  <c r="H398" i="1"/>
  <c r="I398" i="1"/>
  <c r="A399" i="1"/>
  <c r="B399" i="1"/>
  <c r="E399" i="1"/>
  <c r="H399" i="1"/>
  <c r="I399" i="1"/>
  <c r="A400" i="1"/>
  <c r="B400" i="1"/>
  <c r="E400" i="1"/>
  <c r="H400" i="1"/>
  <c r="I400" i="1"/>
  <c r="A401" i="1"/>
  <c r="B401" i="1"/>
  <c r="E401" i="1"/>
  <c r="H401" i="1"/>
  <c r="I401" i="1"/>
  <c r="A403" i="1"/>
  <c r="B403" i="1"/>
  <c r="E403" i="1"/>
  <c r="H403" i="1"/>
  <c r="I403" i="1"/>
  <c r="A404" i="1"/>
  <c r="B404" i="1"/>
  <c r="E404" i="1"/>
  <c r="H404" i="1"/>
  <c r="I404" i="1"/>
  <c r="A384" i="1"/>
  <c r="B384" i="1"/>
  <c r="E384" i="1"/>
  <c r="H384" i="1"/>
  <c r="I384" i="1"/>
  <c r="A385" i="1"/>
  <c r="B385" i="1"/>
  <c r="E385" i="1"/>
  <c r="H385" i="1"/>
  <c r="I385" i="1"/>
  <c r="A378" i="1"/>
  <c r="B378" i="1"/>
  <c r="E378" i="1"/>
  <c r="H378" i="1"/>
  <c r="I378" i="1"/>
  <c r="A379" i="1"/>
  <c r="B379" i="1"/>
  <c r="E379" i="1"/>
  <c r="H379" i="1"/>
  <c r="I379" i="1"/>
  <c r="A405" i="1"/>
  <c r="B405" i="1"/>
  <c r="E405" i="1"/>
  <c r="H405" i="1"/>
  <c r="I405" i="1"/>
  <c r="A406" i="1"/>
  <c r="B406" i="1"/>
  <c r="E406" i="1"/>
  <c r="H406" i="1"/>
  <c r="I406" i="1"/>
  <c r="A407" i="1"/>
  <c r="B407" i="1"/>
  <c r="E407" i="1"/>
  <c r="H407" i="1"/>
  <c r="I407" i="1"/>
  <c r="A408" i="1"/>
  <c r="B408" i="1"/>
  <c r="E408" i="1"/>
  <c r="H408" i="1"/>
  <c r="I408" i="1"/>
  <c r="A409" i="1"/>
  <c r="B409" i="1"/>
  <c r="E409" i="1"/>
  <c r="H409" i="1"/>
  <c r="I409" i="1"/>
  <c r="A410" i="1"/>
  <c r="B410" i="1"/>
  <c r="E410" i="1"/>
  <c r="H410" i="1"/>
  <c r="I410" i="1"/>
  <c r="A390" i="1"/>
  <c r="B390" i="1"/>
  <c r="E390" i="1"/>
  <c r="H390" i="1"/>
  <c r="I390" i="1"/>
  <c r="A391" i="1"/>
  <c r="B391" i="1"/>
  <c r="E391" i="1"/>
  <c r="H391" i="1"/>
  <c r="I391" i="1"/>
  <c r="A392" i="1"/>
  <c r="B392" i="1"/>
  <c r="E392" i="1"/>
  <c r="H392" i="1"/>
  <c r="I392" i="1"/>
  <c r="A393" i="1"/>
  <c r="B393" i="1"/>
  <c r="E393" i="1"/>
  <c r="H393" i="1"/>
  <c r="I393" i="1"/>
  <c r="A394" i="1"/>
  <c r="B394" i="1"/>
  <c r="E394" i="1"/>
  <c r="H394" i="1"/>
  <c r="I394" i="1"/>
  <c r="A395" i="1"/>
  <c r="B395" i="1"/>
  <c r="E395" i="1"/>
  <c r="H395" i="1"/>
  <c r="I395" i="1"/>
  <c r="A396" i="1"/>
  <c r="B396" i="1"/>
  <c r="E396" i="1"/>
  <c r="H396" i="1"/>
  <c r="I396" i="1"/>
  <c r="A397" i="1"/>
  <c r="B397" i="1"/>
  <c r="E397" i="1"/>
  <c r="H397" i="1"/>
  <c r="I397" i="1"/>
  <c r="A411" i="1"/>
  <c r="B411" i="1"/>
  <c r="E411" i="1"/>
  <c r="H411" i="1"/>
  <c r="I411" i="1"/>
  <c r="A412" i="1"/>
  <c r="B412" i="1"/>
  <c r="E412" i="1"/>
  <c r="H412" i="1"/>
  <c r="I412" i="1"/>
  <c r="A3499" i="1"/>
  <c r="B3499" i="1"/>
  <c r="E3499" i="1"/>
  <c r="H3499" i="1"/>
  <c r="I3499" i="1"/>
  <c r="A3500" i="1"/>
  <c r="B3500" i="1"/>
  <c r="E3500" i="1"/>
  <c r="H3500" i="1"/>
  <c r="I3500" i="1"/>
  <c r="A3497" i="1"/>
  <c r="B3497" i="1"/>
  <c r="E3497" i="1"/>
  <c r="H3497" i="1"/>
  <c r="I3497" i="1"/>
  <c r="A3498" i="1"/>
  <c r="B3498" i="1"/>
  <c r="E3498" i="1"/>
  <c r="H3498" i="1"/>
  <c r="I3498" i="1"/>
  <c r="A3506" i="1"/>
  <c r="B3506" i="1"/>
  <c r="E3506" i="1"/>
  <c r="H3506" i="1"/>
  <c r="I3506" i="1"/>
  <c r="A3507" i="1"/>
  <c r="B3507" i="1"/>
  <c r="E3507" i="1"/>
  <c r="H3507" i="1"/>
  <c r="I3507" i="1"/>
  <c r="A297" i="1"/>
  <c r="B297" i="1"/>
  <c r="E297" i="1"/>
  <c r="H297" i="1"/>
  <c r="I297" i="1"/>
  <c r="A313" i="1"/>
  <c r="B313" i="1"/>
  <c r="E313" i="1"/>
  <c r="H313" i="1"/>
  <c r="I313" i="1"/>
  <c r="A295" i="1"/>
  <c r="B295" i="1"/>
  <c r="E295" i="1"/>
  <c r="H295" i="1"/>
  <c r="I295" i="1"/>
  <c r="A293" i="1"/>
  <c r="B293" i="1"/>
  <c r="E293" i="1"/>
  <c r="H293" i="1"/>
  <c r="I293" i="1"/>
  <c r="A512" i="1"/>
  <c r="B512" i="1"/>
  <c r="E512" i="1"/>
  <c r="H512" i="1"/>
  <c r="I512" i="1"/>
  <c r="A617" i="1"/>
  <c r="B617" i="1"/>
  <c r="E617" i="1"/>
  <c r="H617" i="1"/>
  <c r="I617" i="1"/>
  <c r="A1896" i="1"/>
  <c r="B1896" i="1"/>
  <c r="E1896" i="1"/>
  <c r="H1896" i="1"/>
  <c r="I1896" i="1"/>
  <c r="A3200" i="1"/>
  <c r="B3200" i="1"/>
  <c r="E3200" i="1"/>
  <c r="H3200" i="1"/>
  <c r="I3200" i="1"/>
  <c r="A3201" i="1"/>
  <c r="B3201" i="1"/>
  <c r="E3201" i="1"/>
  <c r="H3201" i="1"/>
  <c r="I3201" i="1"/>
  <c r="A3235" i="1"/>
  <c r="B3235" i="1"/>
  <c r="E3235" i="1"/>
  <c r="H3235" i="1"/>
  <c r="I3235" i="1"/>
  <c r="A3236" i="1"/>
  <c r="B3236" i="1"/>
  <c r="E3236" i="1"/>
  <c r="H3236" i="1"/>
  <c r="I3236" i="1"/>
  <c r="A3219" i="1"/>
  <c r="B3219" i="1"/>
  <c r="E3219" i="1"/>
  <c r="H3219" i="1"/>
  <c r="I3219" i="1"/>
  <c r="A3217" i="1"/>
  <c r="B3217" i="1"/>
  <c r="E3217" i="1"/>
  <c r="H3217" i="1"/>
  <c r="I3217" i="1"/>
  <c r="A3218" i="1"/>
  <c r="B3218" i="1"/>
  <c r="E3218" i="1"/>
  <c r="H3218" i="1"/>
  <c r="I3218" i="1"/>
  <c r="A3212" i="1"/>
  <c r="B3212" i="1"/>
  <c r="E3212" i="1"/>
  <c r="H3212" i="1"/>
  <c r="I3212" i="1"/>
  <c r="A3213" i="1"/>
  <c r="B3213" i="1"/>
  <c r="E3213" i="1"/>
  <c r="H3213" i="1"/>
  <c r="I3213" i="1"/>
  <c r="A3214" i="1"/>
  <c r="B3214" i="1"/>
  <c r="E3214" i="1"/>
  <c r="H3214" i="1"/>
  <c r="I3214" i="1"/>
  <c r="A2664" i="1"/>
  <c r="B2664" i="1"/>
  <c r="E2664" i="1"/>
  <c r="H2664" i="1"/>
  <c r="I2664" i="1"/>
  <c r="A2665" i="1"/>
  <c r="B2665" i="1"/>
  <c r="E2665" i="1"/>
  <c r="H2665" i="1"/>
  <c r="I2665" i="1"/>
  <c r="A2626" i="1"/>
  <c r="B2626" i="1"/>
  <c r="E2626" i="1"/>
  <c r="H2626" i="1"/>
  <c r="I2626" i="1"/>
  <c r="A2627" i="1"/>
  <c r="B2627" i="1"/>
  <c r="E2627" i="1"/>
  <c r="H2627" i="1"/>
  <c r="I2627" i="1"/>
  <c r="A2628" i="1"/>
  <c r="B2628" i="1"/>
  <c r="E2628" i="1"/>
  <c r="H2628" i="1"/>
  <c r="I2628" i="1"/>
  <c r="A2648" i="1"/>
  <c r="B2648" i="1"/>
  <c r="E2648" i="1"/>
  <c r="H2648" i="1"/>
  <c r="I2648" i="1"/>
  <c r="A2646" i="1"/>
  <c r="B2646" i="1"/>
  <c r="E2646" i="1"/>
  <c r="H2646" i="1"/>
  <c r="I2646" i="1"/>
  <c r="A2644" i="1"/>
  <c r="B2644" i="1"/>
  <c r="E2644" i="1"/>
  <c r="H2644" i="1"/>
  <c r="I2644" i="1"/>
  <c r="A2633" i="1"/>
  <c r="B2633" i="1"/>
  <c r="E2633" i="1"/>
  <c r="H2633" i="1"/>
  <c r="I2633" i="1"/>
  <c r="A2617" i="1"/>
  <c r="B2617" i="1"/>
  <c r="E2617" i="1"/>
  <c r="H2617" i="1"/>
  <c r="I2617" i="1"/>
  <c r="A2634" i="1"/>
  <c r="B2634" i="1"/>
  <c r="E2634" i="1"/>
  <c r="H2634" i="1"/>
  <c r="I2634" i="1"/>
  <c r="A2655" i="1"/>
  <c r="B2655" i="1"/>
  <c r="E2655" i="1"/>
  <c r="H2655" i="1"/>
  <c r="I2655" i="1"/>
  <c r="A2658" i="1"/>
  <c r="B2658" i="1"/>
  <c r="E2658" i="1"/>
  <c r="H2658" i="1"/>
  <c r="I2658" i="1"/>
  <c r="A2653" i="1"/>
  <c r="B2653" i="1"/>
  <c r="E2653" i="1"/>
  <c r="H2653" i="1"/>
  <c r="I2653" i="1"/>
  <c r="A2636" i="1"/>
  <c r="B2636" i="1"/>
  <c r="E2636" i="1"/>
  <c r="H2636" i="1"/>
  <c r="I2636" i="1"/>
  <c r="A2638" i="1"/>
  <c r="B2638" i="1"/>
  <c r="E2638" i="1"/>
  <c r="H2638" i="1"/>
  <c r="I2638" i="1"/>
  <c r="A2659" i="1"/>
  <c r="B2659" i="1"/>
  <c r="E2659" i="1"/>
  <c r="H2659" i="1"/>
  <c r="I2659" i="1"/>
  <c r="A2641" i="1"/>
  <c r="B2641" i="1"/>
  <c r="E2641" i="1"/>
  <c r="H2641" i="1"/>
  <c r="I2641" i="1"/>
  <c r="A2618" i="1"/>
  <c r="B2618" i="1"/>
  <c r="E2618" i="1"/>
  <c r="H2618" i="1"/>
  <c r="I2618" i="1"/>
  <c r="A2642" i="1"/>
  <c r="B2642" i="1"/>
  <c r="E2642" i="1"/>
  <c r="H2642" i="1"/>
  <c r="I2642" i="1"/>
  <c r="A2650" i="1"/>
  <c r="B2650" i="1"/>
  <c r="E2650" i="1"/>
  <c r="H2650" i="1"/>
  <c r="I2650" i="1"/>
  <c r="A2669" i="1"/>
  <c r="B2669" i="1"/>
  <c r="E2669" i="1"/>
  <c r="H2669" i="1"/>
  <c r="I2669" i="1"/>
  <c r="A2629" i="1"/>
  <c r="B2629" i="1"/>
  <c r="E2629" i="1"/>
  <c r="H2629" i="1"/>
  <c r="I2629" i="1"/>
  <c r="A2674" i="1"/>
  <c r="B2674" i="1"/>
  <c r="E2674" i="1"/>
  <c r="H2674" i="1"/>
  <c r="I2674" i="1"/>
  <c r="A2676" i="1"/>
  <c r="B2676" i="1"/>
  <c r="E2676" i="1"/>
  <c r="H2676" i="1"/>
  <c r="I2676" i="1"/>
  <c r="A2678" i="1"/>
  <c r="B2678" i="1"/>
  <c r="E2678" i="1"/>
  <c r="H2678" i="1"/>
  <c r="I2678" i="1"/>
  <c r="A2630" i="1"/>
  <c r="B2630" i="1"/>
  <c r="E2630" i="1"/>
  <c r="H2630" i="1"/>
  <c r="I2630" i="1"/>
  <c r="A2671" i="1"/>
  <c r="B2671" i="1"/>
  <c r="E2671" i="1"/>
  <c r="H2671" i="1"/>
  <c r="I2671" i="1"/>
  <c r="A2673" i="1"/>
  <c r="B2673" i="1"/>
  <c r="E2673" i="1"/>
  <c r="H2673" i="1"/>
  <c r="I2673" i="1"/>
  <c r="A2680" i="1"/>
  <c r="B2680" i="1"/>
  <c r="E2680" i="1"/>
  <c r="H2680" i="1"/>
  <c r="I2680" i="1"/>
  <c r="A2681" i="1"/>
  <c r="B2681" i="1"/>
  <c r="E2681" i="1"/>
  <c r="H2681" i="1"/>
  <c r="I2681" i="1"/>
  <c r="A2747" i="1"/>
  <c r="B2747" i="1"/>
  <c r="E2747" i="1"/>
  <c r="H2747" i="1"/>
  <c r="I2747" i="1"/>
  <c r="A2719" i="1"/>
  <c r="B2719" i="1"/>
  <c r="E2719" i="1"/>
  <c r="H2719" i="1"/>
  <c r="I2719" i="1"/>
  <c r="A2731" i="1"/>
  <c r="B2731" i="1"/>
  <c r="E2731" i="1"/>
  <c r="H2731" i="1"/>
  <c r="I2731" i="1"/>
  <c r="A2720" i="1"/>
  <c r="B2720" i="1"/>
  <c r="E2720" i="1"/>
  <c r="H2720" i="1"/>
  <c r="I2720" i="1"/>
  <c r="A2738" i="1"/>
  <c r="B2738" i="1"/>
  <c r="E2738" i="1"/>
  <c r="H2738" i="1"/>
  <c r="I2738" i="1"/>
  <c r="A1818" i="1"/>
  <c r="B1818" i="1"/>
  <c r="E1818" i="1"/>
  <c r="H1818" i="1"/>
  <c r="I1818" i="1"/>
  <c r="A1828" i="1"/>
  <c r="B1828" i="1"/>
  <c r="E1828" i="1"/>
  <c r="H1828" i="1"/>
  <c r="I1828" i="1"/>
  <c r="A1790" i="1"/>
  <c r="B1790" i="1"/>
  <c r="E1790" i="1"/>
  <c r="H1790" i="1"/>
  <c r="I1790" i="1"/>
  <c r="A162" i="1"/>
  <c r="B162" i="1"/>
  <c r="E162" i="1"/>
  <c r="H162" i="1"/>
  <c r="I162" i="1"/>
  <c r="A172" i="1"/>
  <c r="B172" i="1"/>
  <c r="E172" i="1"/>
  <c r="H172" i="1"/>
  <c r="I172" i="1"/>
  <c r="A748" i="1"/>
  <c r="B748" i="1"/>
  <c r="E748" i="1"/>
  <c r="H748" i="1"/>
  <c r="I748" i="1"/>
  <c r="A125" i="1"/>
  <c r="B125" i="1"/>
  <c r="E125" i="1"/>
  <c r="H125" i="1"/>
  <c r="I125" i="1"/>
  <c r="A1717" i="1"/>
  <c r="B1717" i="1"/>
  <c r="E1717" i="1"/>
  <c r="H1717" i="1"/>
  <c r="I1717" i="1"/>
  <c r="A1721" i="1"/>
  <c r="B1721" i="1"/>
  <c r="E1721" i="1"/>
  <c r="H1721" i="1"/>
  <c r="I1721" i="1"/>
  <c r="A1762" i="1"/>
  <c r="B1762" i="1"/>
  <c r="E1762" i="1"/>
  <c r="H1762" i="1"/>
  <c r="I1762" i="1"/>
  <c r="A1723" i="1"/>
  <c r="B1723" i="1"/>
  <c r="E1723" i="1"/>
  <c r="H1723" i="1"/>
  <c r="I1723" i="1"/>
  <c r="A1709" i="1"/>
  <c r="B1709" i="1"/>
  <c r="E1709" i="1"/>
  <c r="H1709" i="1"/>
  <c r="I1709" i="1"/>
  <c r="A3545" i="1"/>
  <c r="B3545" i="1"/>
  <c r="E3545" i="1"/>
  <c r="H3545" i="1"/>
  <c r="I3545" i="1"/>
  <c r="A3515" i="1"/>
  <c r="B3515" i="1"/>
  <c r="E3515" i="1"/>
  <c r="H3515" i="1"/>
  <c r="I3515" i="1"/>
  <c r="A3554" i="1"/>
  <c r="B3554" i="1"/>
  <c r="E3554" i="1"/>
  <c r="H3554" i="1"/>
  <c r="I3554" i="1"/>
  <c r="A555" i="1"/>
  <c r="B555" i="1"/>
  <c r="E555" i="1"/>
  <c r="H555" i="1"/>
  <c r="I555" i="1"/>
  <c r="A1817" i="1"/>
  <c r="B1817" i="1"/>
  <c r="E1817" i="1"/>
  <c r="H1817" i="1"/>
  <c r="I1817" i="1"/>
  <c r="A1921" i="1"/>
  <c r="B1921" i="1"/>
  <c r="E1921" i="1"/>
  <c r="H1921" i="1"/>
  <c r="I1921" i="1"/>
  <c r="A1935" i="1"/>
  <c r="B1935" i="1"/>
  <c r="E1935" i="1"/>
  <c r="H1935" i="1"/>
  <c r="I1935" i="1"/>
  <c r="A531" i="1"/>
  <c r="B531" i="1"/>
  <c r="E531" i="1"/>
  <c r="H531" i="1"/>
  <c r="I531" i="1"/>
  <c r="A1868" i="1"/>
  <c r="B1868" i="1"/>
  <c r="E1868" i="1"/>
  <c r="H1868" i="1"/>
  <c r="I1868" i="1"/>
  <c r="A1856" i="1"/>
  <c r="B1856" i="1"/>
  <c r="E1856" i="1"/>
  <c r="H1856" i="1"/>
  <c r="I1856" i="1"/>
  <c r="A602" i="1"/>
  <c r="B602" i="1"/>
  <c r="E602" i="1"/>
  <c r="H602" i="1"/>
  <c r="I602" i="1"/>
  <c r="A623" i="1"/>
  <c r="B623" i="1"/>
  <c r="E623" i="1"/>
  <c r="H623" i="1"/>
  <c r="I623" i="1"/>
  <c r="A628" i="1"/>
  <c r="B628" i="1"/>
  <c r="E628" i="1"/>
  <c r="H628" i="1"/>
  <c r="I628" i="1"/>
  <c r="A576" i="1"/>
  <c r="B576" i="1"/>
  <c r="E576" i="1"/>
  <c r="H576" i="1"/>
  <c r="I576" i="1"/>
  <c r="A577" i="1"/>
  <c r="B577" i="1"/>
  <c r="E577" i="1"/>
  <c r="H577" i="1"/>
  <c r="I577" i="1"/>
  <c r="A566" i="1"/>
  <c r="B566" i="1"/>
  <c r="E566" i="1"/>
  <c r="H566" i="1"/>
  <c r="I566" i="1"/>
  <c r="A567" i="1"/>
  <c r="B567" i="1"/>
  <c r="E567" i="1"/>
  <c r="H567" i="1"/>
  <c r="I567" i="1"/>
  <c r="A562" i="1"/>
  <c r="B562" i="1"/>
  <c r="E562" i="1"/>
  <c r="H562" i="1"/>
  <c r="I562" i="1"/>
  <c r="A563" i="1"/>
  <c r="B563" i="1"/>
  <c r="E563" i="1"/>
  <c r="H563" i="1"/>
  <c r="I563" i="1"/>
  <c r="A564" i="1"/>
  <c r="B564" i="1"/>
  <c r="E564" i="1"/>
  <c r="H564" i="1"/>
  <c r="I564" i="1"/>
  <c r="A565" i="1"/>
  <c r="B565" i="1"/>
  <c r="E565" i="1"/>
  <c r="H565" i="1"/>
  <c r="I565" i="1"/>
  <c r="A556" i="1"/>
  <c r="B556" i="1"/>
  <c r="E556" i="1"/>
  <c r="H556" i="1"/>
  <c r="I556" i="1"/>
  <c r="A557" i="1"/>
  <c r="B557" i="1"/>
  <c r="E557" i="1"/>
  <c r="H557" i="1"/>
  <c r="I557" i="1"/>
  <c r="A578" i="1"/>
  <c r="B578" i="1"/>
  <c r="E578" i="1"/>
  <c r="H578" i="1"/>
  <c r="I578" i="1"/>
  <c r="A579" i="1"/>
  <c r="B579" i="1"/>
  <c r="E579" i="1"/>
  <c r="H579" i="1"/>
  <c r="I579" i="1"/>
  <c r="A568" i="1"/>
  <c r="B568" i="1"/>
  <c r="E568" i="1"/>
  <c r="H568" i="1"/>
  <c r="I568" i="1"/>
  <c r="A569" i="1"/>
  <c r="B569" i="1"/>
  <c r="E569" i="1"/>
  <c r="H569" i="1"/>
  <c r="I569" i="1"/>
  <c r="A570" i="1"/>
  <c r="B570" i="1"/>
  <c r="E570" i="1"/>
  <c r="H570" i="1"/>
  <c r="I570" i="1"/>
  <c r="A571" i="1"/>
  <c r="B571" i="1"/>
  <c r="E571" i="1"/>
  <c r="H571" i="1"/>
  <c r="I571" i="1"/>
  <c r="A584" i="1"/>
  <c r="B584" i="1"/>
  <c r="E584" i="1"/>
  <c r="H584" i="1"/>
  <c r="I584" i="1"/>
  <c r="A585" i="1"/>
  <c r="B585" i="1"/>
  <c r="E585" i="1"/>
  <c r="H585" i="1"/>
  <c r="I585" i="1"/>
  <c r="A574" i="1"/>
  <c r="B574" i="1"/>
  <c r="E574" i="1"/>
  <c r="H574" i="1"/>
  <c r="I574" i="1"/>
  <c r="A575" i="1"/>
  <c r="B575" i="1"/>
  <c r="E575" i="1"/>
  <c r="H575" i="1"/>
  <c r="I575" i="1"/>
  <c r="A580" i="1"/>
  <c r="B580" i="1"/>
  <c r="E580" i="1"/>
  <c r="H580" i="1"/>
  <c r="I580" i="1"/>
  <c r="A581" i="1"/>
  <c r="B581" i="1"/>
  <c r="E581" i="1"/>
  <c r="H581" i="1"/>
  <c r="I581" i="1"/>
  <c r="A560" i="1"/>
  <c r="B560" i="1"/>
  <c r="E560" i="1"/>
  <c r="H560" i="1"/>
  <c r="I560" i="1"/>
  <c r="A561" i="1"/>
  <c r="B561" i="1"/>
  <c r="E561" i="1"/>
  <c r="H561" i="1"/>
  <c r="I561" i="1"/>
  <c r="A558" i="1"/>
  <c r="B558" i="1"/>
  <c r="E558" i="1"/>
  <c r="H558" i="1"/>
  <c r="I558" i="1"/>
  <c r="A559" i="1"/>
  <c r="B559" i="1"/>
  <c r="E559" i="1"/>
  <c r="H559" i="1"/>
  <c r="I559" i="1"/>
  <c r="A572" i="1"/>
  <c r="B572" i="1"/>
  <c r="E572" i="1"/>
  <c r="H572" i="1"/>
  <c r="I572" i="1"/>
  <c r="A573" i="1"/>
  <c r="B573" i="1"/>
  <c r="E573" i="1"/>
  <c r="H573" i="1"/>
  <c r="I573" i="1"/>
  <c r="A582" i="1"/>
  <c r="B582" i="1"/>
  <c r="E582" i="1"/>
  <c r="H582" i="1"/>
  <c r="I582" i="1"/>
  <c r="A583" i="1"/>
  <c r="B583" i="1"/>
  <c r="E583" i="1"/>
  <c r="H583" i="1"/>
  <c r="I583" i="1"/>
  <c r="A188" i="1"/>
  <c r="B188" i="1"/>
  <c r="E188" i="1"/>
  <c r="H188" i="1"/>
  <c r="I188" i="1"/>
  <c r="A189" i="1"/>
  <c r="B189" i="1"/>
  <c r="E189" i="1"/>
  <c r="H189" i="1"/>
  <c r="I189" i="1"/>
  <c r="A176" i="1"/>
  <c r="B176" i="1"/>
  <c r="E176" i="1"/>
  <c r="H176" i="1"/>
  <c r="I176" i="1"/>
  <c r="A177" i="1"/>
  <c r="B177" i="1"/>
  <c r="E177" i="1"/>
  <c r="H177" i="1"/>
  <c r="I177" i="1"/>
  <c r="A178" i="1"/>
  <c r="B178" i="1"/>
  <c r="E178" i="1"/>
  <c r="H178" i="1"/>
  <c r="I178" i="1"/>
  <c r="A179" i="1"/>
  <c r="B179" i="1"/>
  <c r="E179" i="1"/>
  <c r="H179" i="1"/>
  <c r="I179" i="1"/>
  <c r="A180" i="1"/>
  <c r="B180" i="1"/>
  <c r="E180" i="1"/>
  <c r="H180" i="1"/>
  <c r="I180" i="1"/>
  <c r="A181" i="1"/>
  <c r="B181" i="1"/>
  <c r="E181" i="1"/>
  <c r="H181" i="1"/>
  <c r="I181" i="1"/>
  <c r="A184" i="1"/>
  <c r="B184" i="1"/>
  <c r="E184" i="1"/>
  <c r="H184" i="1"/>
  <c r="I184" i="1"/>
  <c r="A185" i="1"/>
  <c r="B185" i="1"/>
  <c r="E185" i="1"/>
  <c r="H185" i="1"/>
  <c r="I185" i="1"/>
  <c r="A186" i="1"/>
  <c r="B186" i="1"/>
  <c r="E186" i="1"/>
  <c r="H186" i="1"/>
  <c r="I186" i="1"/>
  <c r="A190" i="1"/>
  <c r="B190" i="1"/>
  <c r="E190" i="1"/>
  <c r="H190" i="1"/>
  <c r="I190" i="1"/>
  <c r="A182" i="1"/>
  <c r="B182" i="1"/>
  <c r="E182" i="1"/>
  <c r="H182" i="1"/>
  <c r="I182" i="1"/>
  <c r="A183" i="1"/>
  <c r="B183" i="1"/>
  <c r="E183" i="1"/>
  <c r="H183" i="1"/>
  <c r="I183" i="1"/>
  <c r="A187" i="1"/>
  <c r="B187" i="1"/>
  <c r="E187" i="1"/>
  <c r="H187" i="1"/>
  <c r="I187" i="1"/>
  <c r="A550" i="1"/>
  <c r="B550" i="1"/>
  <c r="E550" i="1"/>
  <c r="H550" i="1"/>
  <c r="I550" i="1"/>
  <c r="A95" i="1"/>
  <c r="B95" i="1"/>
  <c r="E95" i="1"/>
  <c r="H95" i="1"/>
  <c r="I95" i="1"/>
  <c r="A3298" i="1"/>
  <c r="B3298" i="1"/>
  <c r="E3298" i="1"/>
  <c r="H3298" i="1"/>
  <c r="I3298" i="1"/>
  <c r="A547" i="1"/>
  <c r="B547" i="1"/>
  <c r="E547" i="1"/>
  <c r="H547" i="1"/>
  <c r="I547" i="1"/>
  <c r="A630" i="1"/>
  <c r="B630" i="1"/>
  <c r="E630" i="1"/>
  <c r="H630" i="1"/>
  <c r="I630" i="1"/>
  <c r="A1675" i="1"/>
  <c r="B1675" i="1"/>
  <c r="E1675" i="1"/>
  <c r="H1675" i="1"/>
  <c r="I1675" i="1"/>
  <c r="A1676" i="1"/>
  <c r="B1676" i="1"/>
  <c r="E1676" i="1"/>
  <c r="H1676" i="1"/>
  <c r="I1676" i="1"/>
  <c r="A1034" i="1"/>
  <c r="B1034" i="1"/>
  <c r="E1034" i="1"/>
  <c r="H1034" i="1"/>
  <c r="I1034" i="1"/>
  <c r="A2212" i="1"/>
  <c r="B2212" i="1"/>
  <c r="E2212" i="1"/>
  <c r="H2212" i="1"/>
  <c r="I2212" i="1"/>
  <c r="A132" i="1"/>
  <c r="B132" i="1"/>
  <c r="E132" i="1"/>
  <c r="H132" i="1"/>
  <c r="I132" i="1"/>
  <c r="A1679" i="1"/>
  <c r="B1679" i="1"/>
  <c r="E1679" i="1"/>
  <c r="H1679" i="1"/>
  <c r="I1679" i="1"/>
  <c r="A1754" i="1"/>
  <c r="B1754" i="1"/>
  <c r="E1754" i="1"/>
  <c r="H1754" i="1"/>
  <c r="I1754" i="1"/>
  <c r="A1732" i="1"/>
  <c r="B1732" i="1"/>
  <c r="E1732" i="1"/>
  <c r="H1732" i="1"/>
  <c r="I1732" i="1"/>
  <c r="A1740" i="1"/>
  <c r="B1740" i="1"/>
  <c r="E1740" i="1"/>
  <c r="H1740" i="1"/>
  <c r="I1740" i="1"/>
  <c r="A1756" i="1"/>
  <c r="B1756" i="1"/>
  <c r="E1756" i="1"/>
  <c r="H1756" i="1"/>
  <c r="I1756" i="1"/>
  <c r="A1680" i="1"/>
  <c r="B1680" i="1"/>
  <c r="E1680" i="1"/>
  <c r="H1680" i="1"/>
  <c r="I1680" i="1"/>
  <c r="A1677" i="1"/>
  <c r="B1677" i="1"/>
  <c r="E1677" i="1"/>
  <c r="H1677" i="1"/>
  <c r="I1677" i="1"/>
  <c r="A3535" i="1"/>
  <c r="B3535" i="1"/>
  <c r="E3535" i="1"/>
  <c r="H3535" i="1"/>
  <c r="I3535" i="1"/>
  <c r="A3533" i="1"/>
  <c r="B3533" i="1"/>
  <c r="E3533" i="1"/>
  <c r="H3533" i="1"/>
  <c r="I3533" i="1"/>
  <c r="A3552" i="1"/>
  <c r="B3552" i="1"/>
  <c r="E3552" i="1"/>
  <c r="H3552" i="1"/>
  <c r="I3552" i="1"/>
  <c r="A1678" i="1"/>
  <c r="B1678" i="1"/>
  <c r="E1678" i="1"/>
  <c r="H1678" i="1"/>
  <c r="I1678" i="1"/>
  <c r="A3146" i="1"/>
  <c r="B3146" i="1"/>
  <c r="E3146" i="1"/>
  <c r="H3146" i="1"/>
  <c r="I3146" i="1"/>
  <c r="A3147" i="1"/>
  <c r="B3147" i="1"/>
  <c r="E3147" i="1"/>
  <c r="H3147" i="1"/>
  <c r="I3147" i="1"/>
  <c r="A3136" i="1"/>
  <c r="B3136" i="1"/>
  <c r="E3136" i="1"/>
  <c r="H3136" i="1"/>
  <c r="I3136" i="1"/>
  <c r="A1352" i="1"/>
  <c r="B1352" i="1"/>
  <c r="E1352" i="1"/>
  <c r="H1352" i="1"/>
  <c r="I1352" i="1"/>
  <c r="A1335" i="1"/>
  <c r="B1335" i="1"/>
  <c r="E1335" i="1"/>
  <c r="H1335" i="1"/>
  <c r="I1335" i="1"/>
  <c r="A1372" i="1"/>
  <c r="B1372" i="1"/>
  <c r="E1372" i="1"/>
  <c r="H1372" i="1"/>
  <c r="I1372" i="1"/>
  <c r="A1370" i="1"/>
  <c r="B1370" i="1"/>
  <c r="E1370" i="1"/>
  <c r="H1370" i="1"/>
  <c r="I1370" i="1"/>
  <c r="A1356" i="1"/>
  <c r="B1356" i="1"/>
  <c r="E1356" i="1"/>
  <c r="H1356" i="1"/>
  <c r="I1356" i="1"/>
  <c r="A2418" i="1"/>
  <c r="B2418" i="1"/>
  <c r="E2418" i="1"/>
  <c r="H2418" i="1"/>
  <c r="I2418" i="1"/>
  <c r="A2440" i="1"/>
  <c r="B2440" i="1"/>
  <c r="E2440" i="1"/>
  <c r="H2440" i="1"/>
  <c r="I2440" i="1"/>
  <c r="A2685" i="1"/>
  <c r="B2685" i="1"/>
  <c r="E2685" i="1"/>
  <c r="H2685" i="1"/>
  <c r="I2685" i="1"/>
  <c r="A2647" i="1"/>
  <c r="B2647" i="1"/>
  <c r="E2647" i="1"/>
  <c r="H2647" i="1"/>
  <c r="I2647" i="1"/>
  <c r="A2639" i="1"/>
  <c r="B2639" i="1"/>
  <c r="E2639" i="1"/>
  <c r="H2639" i="1"/>
  <c r="I2639" i="1"/>
  <c r="A2677" i="1"/>
  <c r="B2677" i="1"/>
  <c r="E2677" i="1"/>
  <c r="H2677" i="1"/>
  <c r="I2677" i="1"/>
  <c r="A2768" i="1"/>
  <c r="B2768" i="1"/>
  <c r="E2768" i="1"/>
  <c r="H2768" i="1"/>
  <c r="I2768" i="1"/>
  <c r="A422" i="1"/>
  <c r="B422" i="1"/>
  <c r="E422" i="1"/>
  <c r="H422" i="1"/>
  <c r="I422" i="1"/>
  <c r="A1487" i="1"/>
  <c r="B1487" i="1"/>
  <c r="E1487" i="1"/>
  <c r="H1487" i="1"/>
  <c r="I1487" i="1"/>
  <c r="A1488" i="1"/>
  <c r="B1488" i="1"/>
  <c r="E1488" i="1"/>
  <c r="H1488" i="1"/>
  <c r="I1488" i="1"/>
  <c r="A329" i="1"/>
  <c r="B329" i="1"/>
  <c r="E329" i="1"/>
  <c r="H329" i="1"/>
  <c r="I329" i="1"/>
  <c r="A317" i="1"/>
  <c r="B317" i="1"/>
  <c r="E317" i="1"/>
  <c r="H317" i="1"/>
  <c r="I317" i="1"/>
  <c r="A335" i="1"/>
  <c r="B335" i="1"/>
  <c r="E335" i="1"/>
  <c r="H335" i="1"/>
  <c r="I335" i="1"/>
  <c r="A299" i="1"/>
  <c r="B299" i="1"/>
  <c r="E299" i="1"/>
  <c r="H299" i="1"/>
  <c r="I299" i="1"/>
  <c r="A355" i="1"/>
  <c r="B355" i="1"/>
  <c r="E355" i="1"/>
  <c r="H355" i="1"/>
  <c r="I355" i="1"/>
  <c r="A501" i="1"/>
  <c r="B501" i="1"/>
  <c r="E501" i="1"/>
  <c r="H501" i="1"/>
  <c r="I501" i="1"/>
  <c r="A3137" i="1"/>
  <c r="B3137" i="1"/>
  <c r="E3137" i="1"/>
  <c r="H3137" i="1"/>
  <c r="I3137" i="1"/>
  <c r="A3134" i="1"/>
  <c r="B3134" i="1"/>
  <c r="E3134" i="1"/>
  <c r="H3134" i="1"/>
  <c r="I3134" i="1"/>
  <c r="A3135" i="1"/>
  <c r="B3135" i="1"/>
  <c r="E3135" i="1"/>
  <c r="H3135" i="1"/>
  <c r="I3135" i="1"/>
  <c r="A3138" i="1"/>
  <c r="B3138" i="1"/>
  <c r="E3138" i="1"/>
  <c r="H3138" i="1"/>
  <c r="I3138" i="1"/>
  <c r="A3139" i="1"/>
  <c r="B3139" i="1"/>
  <c r="E3139" i="1"/>
  <c r="H3139" i="1"/>
  <c r="I3139" i="1"/>
  <c r="A3140" i="1"/>
  <c r="B3140" i="1"/>
  <c r="E3140" i="1"/>
  <c r="H3140" i="1"/>
  <c r="I3140" i="1"/>
  <c r="A113" i="1"/>
  <c r="B113" i="1"/>
  <c r="E113" i="1"/>
  <c r="H113" i="1"/>
  <c r="I113" i="1"/>
  <c r="A118" i="1"/>
  <c r="B118" i="1"/>
  <c r="E118" i="1"/>
  <c r="H118" i="1"/>
  <c r="I118" i="1"/>
  <c r="A110" i="1"/>
  <c r="B110" i="1"/>
  <c r="E110" i="1"/>
  <c r="H110" i="1"/>
  <c r="I110" i="1"/>
  <c r="A2449" i="1"/>
  <c r="B2449" i="1"/>
  <c r="E2449" i="1"/>
  <c r="H2449" i="1"/>
  <c r="I2449" i="1"/>
  <c r="A2450" i="1"/>
  <c r="B2450" i="1"/>
  <c r="E2450" i="1"/>
  <c r="H2450" i="1"/>
  <c r="I2450" i="1"/>
  <c r="A111" i="1"/>
  <c r="B111" i="1"/>
  <c r="E111" i="1"/>
  <c r="H111" i="1"/>
  <c r="I111" i="1"/>
  <c r="A2330" i="1"/>
  <c r="B2330" i="1"/>
  <c r="E2330" i="1"/>
  <c r="H2330" i="1"/>
  <c r="I2330" i="1"/>
  <c r="A2310" i="1"/>
  <c r="B2310" i="1"/>
  <c r="E2310" i="1"/>
  <c r="H2310" i="1"/>
  <c r="I2310" i="1"/>
  <c r="A2328" i="1"/>
  <c r="B2328" i="1"/>
  <c r="E2328" i="1"/>
  <c r="H2328" i="1"/>
  <c r="I2328" i="1"/>
  <c r="A2421" i="1"/>
  <c r="B2421" i="1"/>
  <c r="E2421" i="1"/>
  <c r="H2421" i="1"/>
  <c r="I2421" i="1"/>
  <c r="A2424" i="1"/>
  <c r="B2424" i="1"/>
  <c r="E2424" i="1"/>
  <c r="H2424" i="1"/>
  <c r="I2424" i="1"/>
  <c r="A2419" i="1"/>
  <c r="B2419" i="1"/>
  <c r="E2419" i="1"/>
  <c r="H2419" i="1"/>
  <c r="I2419" i="1"/>
  <c r="A1711" i="1"/>
  <c r="B1711" i="1"/>
  <c r="E1711" i="1"/>
  <c r="H1711" i="1"/>
  <c r="I1711" i="1"/>
  <c r="A1755" i="1"/>
  <c r="B1755" i="1"/>
  <c r="E1755" i="1"/>
  <c r="H1755" i="1"/>
  <c r="I1755" i="1"/>
  <c r="A1733" i="1"/>
  <c r="B1733" i="1"/>
  <c r="E1733" i="1"/>
  <c r="H1733" i="1"/>
  <c r="I1733" i="1"/>
  <c r="A1734" i="1"/>
  <c r="B1734" i="1"/>
  <c r="E1734" i="1"/>
  <c r="H1734" i="1"/>
  <c r="I1734" i="1"/>
  <c r="A1718" i="1"/>
  <c r="B1718" i="1"/>
  <c r="E1718" i="1"/>
  <c r="H1718" i="1"/>
  <c r="I1718" i="1"/>
  <c r="A1750" i="1"/>
  <c r="B1750" i="1"/>
  <c r="E1750" i="1"/>
  <c r="H1750" i="1"/>
  <c r="I1750" i="1"/>
  <c r="A1759" i="1"/>
  <c r="B1759" i="1"/>
  <c r="E1759" i="1"/>
  <c r="H1759" i="1"/>
  <c r="I1759" i="1"/>
  <c r="A1764" i="1"/>
  <c r="B1764" i="1"/>
  <c r="E1764" i="1"/>
  <c r="H1764" i="1"/>
  <c r="I1764" i="1"/>
  <c r="A1735" i="1"/>
  <c r="B1735" i="1"/>
  <c r="E1735" i="1"/>
  <c r="H1735" i="1"/>
  <c r="I1735" i="1"/>
  <c r="A1715" i="1"/>
  <c r="B1715" i="1"/>
  <c r="E1715" i="1"/>
  <c r="H1715" i="1"/>
  <c r="I1715" i="1"/>
  <c r="A1722" i="1"/>
  <c r="B1722" i="1"/>
  <c r="E1722" i="1"/>
  <c r="H1722" i="1"/>
  <c r="I1722" i="1"/>
  <c r="A1766" i="1"/>
  <c r="B1766" i="1"/>
  <c r="E1766" i="1"/>
  <c r="H1766" i="1"/>
  <c r="I1766" i="1"/>
  <c r="A1719" i="1"/>
  <c r="B1719" i="1"/>
  <c r="E1719" i="1"/>
  <c r="H1719" i="1"/>
  <c r="I1719" i="1"/>
  <c r="A1769" i="1"/>
  <c r="B1769" i="1"/>
  <c r="E1769" i="1"/>
  <c r="H1769" i="1"/>
  <c r="I1769" i="1"/>
  <c r="A1763" i="1"/>
  <c r="B1763" i="1"/>
  <c r="E1763" i="1"/>
  <c r="H1763" i="1"/>
  <c r="I1763" i="1"/>
  <c r="A1742" i="1"/>
  <c r="B1742" i="1"/>
  <c r="E1742" i="1"/>
  <c r="H1742" i="1"/>
  <c r="I1742" i="1"/>
  <c r="A1761" i="1"/>
  <c r="B1761" i="1"/>
  <c r="E1761" i="1"/>
  <c r="H1761" i="1"/>
  <c r="I1761" i="1"/>
  <c r="A1741" i="1"/>
  <c r="B1741" i="1"/>
  <c r="E1741" i="1"/>
  <c r="H1741" i="1"/>
  <c r="I1741" i="1"/>
  <c r="A1728" i="1"/>
  <c r="B1728" i="1"/>
  <c r="E1728" i="1"/>
  <c r="H1728" i="1"/>
  <c r="I1728" i="1"/>
  <c r="A1713" i="1"/>
  <c r="B1713" i="1"/>
  <c r="E1713" i="1"/>
  <c r="H1713" i="1"/>
  <c r="I1713" i="1"/>
  <c r="A1749" i="1"/>
  <c r="B1749" i="1"/>
  <c r="E1749" i="1"/>
  <c r="H1749" i="1"/>
  <c r="I1749" i="1"/>
  <c r="A1752" i="1"/>
  <c r="B1752" i="1"/>
  <c r="E1752" i="1"/>
  <c r="H1752" i="1"/>
  <c r="I1752" i="1"/>
  <c r="A1744" i="1"/>
  <c r="B1744" i="1"/>
  <c r="E1744" i="1"/>
  <c r="H1744" i="1"/>
  <c r="I1744" i="1"/>
  <c r="A1725" i="1"/>
  <c r="B1725" i="1"/>
  <c r="E1725" i="1"/>
  <c r="H1725" i="1"/>
  <c r="I1725" i="1"/>
  <c r="A1730" i="1"/>
  <c r="B1730" i="1"/>
  <c r="E1730" i="1"/>
  <c r="H1730" i="1"/>
  <c r="I1730" i="1"/>
  <c r="A1765" i="1"/>
  <c r="B1765" i="1"/>
  <c r="E1765" i="1"/>
  <c r="H1765" i="1"/>
  <c r="I1765" i="1"/>
  <c r="A1757" i="1"/>
  <c r="B1757" i="1"/>
  <c r="E1757" i="1"/>
  <c r="H1757" i="1"/>
  <c r="I1757" i="1"/>
  <c r="A1736" i="1"/>
  <c r="B1736" i="1"/>
  <c r="E1736" i="1"/>
  <c r="H1736" i="1"/>
  <c r="I1736" i="1"/>
  <c r="A1727" i="1"/>
  <c r="B1727" i="1"/>
  <c r="E1727" i="1"/>
  <c r="H1727" i="1"/>
  <c r="I1727" i="1"/>
  <c r="A1710" i="1"/>
  <c r="B1710" i="1"/>
  <c r="E1710" i="1"/>
  <c r="H1710" i="1"/>
  <c r="I1710" i="1"/>
  <c r="A1781" i="1"/>
  <c r="B1781" i="1"/>
  <c r="E1781" i="1"/>
  <c r="H1781" i="1"/>
  <c r="I1781" i="1"/>
  <c r="A1806" i="1"/>
  <c r="B1806" i="1"/>
  <c r="E1806" i="1"/>
  <c r="H1806" i="1"/>
  <c r="I1806" i="1"/>
  <c r="A1799" i="1"/>
  <c r="B1799" i="1"/>
  <c r="E1799" i="1"/>
  <c r="H1799" i="1"/>
  <c r="I1799" i="1"/>
  <c r="A1835" i="1"/>
  <c r="B1835" i="1"/>
  <c r="E1835" i="1"/>
  <c r="H1835" i="1"/>
  <c r="I1835" i="1"/>
  <c r="A1797" i="1"/>
  <c r="B1797" i="1"/>
  <c r="E1797" i="1"/>
  <c r="H1797" i="1"/>
  <c r="I1797" i="1"/>
  <c r="A1812" i="1"/>
  <c r="B1812" i="1"/>
  <c r="E1812" i="1"/>
  <c r="H1812" i="1"/>
  <c r="I1812" i="1"/>
  <c r="A1785" i="1"/>
  <c r="B1785" i="1"/>
  <c r="E1785" i="1"/>
  <c r="H1785" i="1"/>
  <c r="I1785" i="1"/>
  <c r="A1789" i="1"/>
  <c r="B1789" i="1"/>
  <c r="E1789" i="1"/>
  <c r="H1789" i="1"/>
  <c r="I1789" i="1"/>
  <c r="A1775" i="1"/>
  <c r="B1775" i="1"/>
  <c r="E1775" i="1"/>
  <c r="H1775" i="1"/>
  <c r="I1775" i="1"/>
  <c r="A1819" i="1"/>
  <c r="B1819" i="1"/>
  <c r="E1819" i="1"/>
  <c r="H1819" i="1"/>
  <c r="I1819" i="1"/>
  <c r="A1820" i="1"/>
  <c r="B1820" i="1"/>
  <c r="E1820" i="1"/>
  <c r="H1820" i="1"/>
  <c r="I1820" i="1"/>
  <c r="A1782" i="1"/>
  <c r="B1782" i="1"/>
  <c r="E1782" i="1"/>
  <c r="H1782" i="1"/>
  <c r="I1782" i="1"/>
  <c r="A1786" i="1"/>
  <c r="B1786" i="1"/>
  <c r="E1786" i="1"/>
  <c r="H1786" i="1"/>
  <c r="I1786" i="1"/>
  <c r="A1772" i="1"/>
  <c r="B1772" i="1"/>
  <c r="E1772" i="1"/>
  <c r="H1772" i="1"/>
  <c r="I1772" i="1"/>
  <c r="A1800" i="1"/>
  <c r="B1800" i="1"/>
  <c r="E1800" i="1"/>
  <c r="H1800" i="1"/>
  <c r="I1800" i="1"/>
  <c r="A1825" i="1"/>
  <c r="B1825" i="1"/>
  <c r="E1825" i="1"/>
  <c r="H1825" i="1"/>
  <c r="I1825" i="1"/>
  <c r="A1783" i="1"/>
  <c r="B1783" i="1"/>
  <c r="E1783" i="1"/>
  <c r="H1783" i="1"/>
  <c r="I1783" i="1"/>
  <c r="A1826" i="1"/>
  <c r="B1826" i="1"/>
  <c r="E1826" i="1"/>
  <c r="H1826" i="1"/>
  <c r="I1826" i="1"/>
  <c r="A1829" i="1"/>
  <c r="B1829" i="1"/>
  <c r="E1829" i="1"/>
  <c r="H1829" i="1"/>
  <c r="I1829" i="1"/>
  <c r="A1808" i="1"/>
  <c r="B1808" i="1"/>
  <c r="E1808" i="1"/>
  <c r="H1808" i="1"/>
  <c r="I1808" i="1"/>
  <c r="A1802" i="1"/>
  <c r="B1802" i="1"/>
  <c r="E1802" i="1"/>
  <c r="H1802" i="1"/>
  <c r="I1802" i="1"/>
  <c r="A1833" i="1"/>
  <c r="B1833" i="1"/>
  <c r="E1833" i="1"/>
  <c r="H1833" i="1"/>
  <c r="I1833" i="1"/>
  <c r="A1778" i="1"/>
  <c r="B1778" i="1"/>
  <c r="E1778" i="1"/>
  <c r="H1778" i="1"/>
  <c r="I1778" i="1"/>
  <c r="A1831" i="1"/>
  <c r="B1831" i="1"/>
  <c r="E1831" i="1"/>
  <c r="H1831" i="1"/>
  <c r="I1831" i="1"/>
  <c r="A1810" i="1"/>
  <c r="B1810" i="1"/>
  <c r="E1810" i="1"/>
  <c r="H1810" i="1"/>
  <c r="I1810" i="1"/>
  <c r="A1795" i="1"/>
  <c r="B1795" i="1"/>
  <c r="E1795" i="1"/>
  <c r="H1795" i="1"/>
  <c r="I1795" i="1"/>
  <c r="A1779" i="1"/>
  <c r="B1779" i="1"/>
  <c r="E1779" i="1"/>
  <c r="H1779" i="1"/>
  <c r="I1779" i="1"/>
  <c r="A1791" i="1"/>
  <c r="B1791" i="1"/>
  <c r="E1791" i="1"/>
  <c r="H1791" i="1"/>
  <c r="I1791" i="1"/>
  <c r="A1793" i="1"/>
  <c r="B1793" i="1"/>
  <c r="E1793" i="1"/>
  <c r="H1793" i="1"/>
  <c r="I1793" i="1"/>
  <c r="A1832" i="1"/>
  <c r="B1832" i="1"/>
  <c r="E1832" i="1"/>
  <c r="H1832" i="1"/>
  <c r="I1832" i="1"/>
  <c r="A1821" i="1"/>
  <c r="B1821" i="1"/>
  <c r="E1821" i="1"/>
  <c r="H1821" i="1"/>
  <c r="I1821" i="1"/>
  <c r="A1822" i="1"/>
  <c r="B1822" i="1"/>
  <c r="E1822" i="1"/>
  <c r="H1822" i="1"/>
  <c r="I1822" i="1"/>
  <c r="A1774" i="1"/>
  <c r="B1774" i="1"/>
  <c r="E1774" i="1"/>
  <c r="H1774" i="1"/>
  <c r="I1774" i="1"/>
  <c r="A1842" i="1"/>
  <c r="B1842" i="1"/>
  <c r="E1842" i="1"/>
  <c r="H1842" i="1"/>
  <c r="I1842" i="1"/>
  <c r="A3346" i="1"/>
  <c r="B3346" i="1"/>
  <c r="E3346" i="1"/>
  <c r="H3346" i="1"/>
  <c r="I3346" i="1"/>
  <c r="A3347" i="1"/>
  <c r="B3347" i="1"/>
  <c r="E3347" i="1"/>
  <c r="H3347" i="1"/>
  <c r="I3347" i="1"/>
  <c r="A3352" i="1"/>
  <c r="B3352" i="1"/>
  <c r="E3352" i="1"/>
  <c r="H3352" i="1"/>
  <c r="I3352" i="1"/>
  <c r="A3381" i="1"/>
  <c r="B3381" i="1"/>
  <c r="E3381" i="1"/>
  <c r="H3381" i="1"/>
  <c r="I3381" i="1"/>
  <c r="A3372" i="1"/>
  <c r="B3372" i="1"/>
  <c r="E3372" i="1"/>
  <c r="H3372" i="1"/>
  <c r="I3372" i="1"/>
  <c r="A3355" i="1"/>
  <c r="B3355" i="1"/>
  <c r="E3355" i="1"/>
  <c r="H3355" i="1"/>
  <c r="I3355" i="1"/>
  <c r="A3357" i="1"/>
  <c r="B3357" i="1"/>
  <c r="E3357" i="1"/>
  <c r="H3357" i="1"/>
  <c r="I3357" i="1"/>
  <c r="A3360" i="1"/>
  <c r="B3360" i="1"/>
  <c r="E3360" i="1"/>
  <c r="H3360" i="1"/>
  <c r="I3360" i="1"/>
  <c r="A3350" i="1"/>
  <c r="B3350" i="1"/>
  <c r="E3350" i="1"/>
  <c r="H3350" i="1"/>
  <c r="I3350" i="1"/>
  <c r="A3368" i="1"/>
  <c r="B3368" i="1"/>
  <c r="E3368" i="1"/>
  <c r="H3368" i="1"/>
  <c r="I3368" i="1"/>
  <c r="A3379" i="1"/>
  <c r="B3379" i="1"/>
  <c r="E3379" i="1"/>
  <c r="H3379" i="1"/>
  <c r="I3379" i="1"/>
  <c r="A3362" i="1"/>
  <c r="B3362" i="1"/>
  <c r="E3362" i="1"/>
  <c r="H3362" i="1"/>
  <c r="I3362" i="1"/>
  <c r="A3364" i="1"/>
  <c r="B3364" i="1"/>
  <c r="E3364" i="1"/>
  <c r="H3364" i="1"/>
  <c r="I3364" i="1"/>
  <c r="A3359" i="1"/>
  <c r="B3359" i="1"/>
  <c r="E3359" i="1"/>
  <c r="H3359" i="1"/>
  <c r="I3359" i="1"/>
  <c r="A3375" i="1"/>
  <c r="B3375" i="1"/>
  <c r="E3375" i="1"/>
  <c r="H3375" i="1"/>
  <c r="I3375" i="1"/>
  <c r="A3383" i="1"/>
  <c r="B3383" i="1"/>
  <c r="E3383" i="1"/>
  <c r="H3383" i="1"/>
  <c r="I3383" i="1"/>
  <c r="A3367" i="1"/>
  <c r="B3367" i="1"/>
  <c r="E3367" i="1"/>
  <c r="H3367" i="1"/>
  <c r="I3367" i="1"/>
  <c r="A3370" i="1"/>
  <c r="B3370" i="1"/>
  <c r="E3370" i="1"/>
  <c r="H3370" i="1"/>
  <c r="I3370" i="1"/>
  <c r="A3354" i="1"/>
  <c r="B3354" i="1"/>
  <c r="E3354" i="1"/>
  <c r="H3354" i="1"/>
  <c r="I3354" i="1"/>
  <c r="A3439" i="1"/>
  <c r="B3439" i="1"/>
  <c r="E3439" i="1"/>
  <c r="H3439" i="1"/>
  <c r="I3439" i="1"/>
  <c r="A3447" i="1"/>
  <c r="B3447" i="1"/>
  <c r="E3447" i="1"/>
  <c r="H3447" i="1"/>
  <c r="I3447" i="1"/>
  <c r="A3442" i="1"/>
  <c r="B3442" i="1"/>
  <c r="E3442" i="1"/>
  <c r="H3442" i="1"/>
  <c r="I3442" i="1"/>
  <c r="A3414" i="1"/>
  <c r="B3414" i="1"/>
  <c r="E3414" i="1"/>
  <c r="H3414" i="1"/>
  <c r="I3414" i="1"/>
  <c r="A3431" i="1"/>
  <c r="B3431" i="1"/>
  <c r="E3431" i="1"/>
  <c r="H3431" i="1"/>
  <c r="I3431" i="1"/>
  <c r="A3426" i="1"/>
  <c r="B3426" i="1"/>
  <c r="E3426" i="1"/>
  <c r="H3426" i="1"/>
  <c r="I3426" i="1"/>
  <c r="A3462" i="1"/>
  <c r="B3462" i="1"/>
  <c r="E3462" i="1"/>
  <c r="H3462" i="1"/>
  <c r="I3462" i="1"/>
  <c r="A3417" i="1"/>
  <c r="B3417" i="1"/>
  <c r="E3417" i="1"/>
  <c r="H3417" i="1"/>
  <c r="I3417" i="1"/>
  <c r="A3427" i="1"/>
  <c r="B3427" i="1"/>
  <c r="E3427" i="1"/>
  <c r="H3427" i="1"/>
  <c r="I3427" i="1"/>
  <c r="A1005" i="1"/>
  <c r="B1005" i="1"/>
  <c r="E1005" i="1"/>
  <c r="H1005" i="1"/>
  <c r="I1005" i="1"/>
  <c r="A1136" i="1"/>
  <c r="B1136" i="1"/>
  <c r="E1136" i="1"/>
  <c r="H1136" i="1"/>
  <c r="I1136" i="1"/>
  <c r="A1143" i="1"/>
  <c r="B1143" i="1"/>
  <c r="E1143" i="1"/>
  <c r="H1143" i="1"/>
  <c r="I1143" i="1"/>
  <c r="A1075" i="1"/>
  <c r="B1075" i="1"/>
  <c r="E1075" i="1"/>
  <c r="H1075" i="1"/>
  <c r="I1075" i="1"/>
  <c r="A1102" i="1"/>
  <c r="B1102" i="1"/>
  <c r="E1102" i="1"/>
  <c r="H1102" i="1"/>
  <c r="I1102" i="1"/>
  <c r="A1087" i="1"/>
  <c r="B1087" i="1"/>
  <c r="E1087" i="1"/>
  <c r="H1087" i="1"/>
  <c r="I1087" i="1"/>
  <c r="A1111" i="1"/>
  <c r="B1111" i="1"/>
  <c r="E1111" i="1"/>
  <c r="H1111" i="1"/>
  <c r="I1111" i="1"/>
  <c r="A1035" i="1"/>
  <c r="B1035" i="1"/>
  <c r="E1035" i="1"/>
  <c r="H1035" i="1"/>
  <c r="I1035" i="1"/>
  <c r="A1036" i="1"/>
  <c r="B1036" i="1"/>
  <c r="E1036" i="1"/>
  <c r="H1036" i="1"/>
  <c r="I1036" i="1"/>
  <c r="A1130" i="1"/>
  <c r="B1130" i="1"/>
  <c r="E1130" i="1"/>
  <c r="H1130" i="1"/>
  <c r="I1130" i="1"/>
  <c r="A1058" i="1"/>
  <c r="B1058" i="1"/>
  <c r="E1058" i="1"/>
  <c r="H1058" i="1"/>
  <c r="I1058" i="1"/>
  <c r="A1020" i="1"/>
  <c r="B1020" i="1"/>
  <c r="E1020" i="1"/>
  <c r="H1020" i="1"/>
  <c r="I1020" i="1"/>
  <c r="A1037" i="1"/>
  <c r="B1037" i="1"/>
  <c r="E1037" i="1"/>
  <c r="H1037" i="1"/>
  <c r="I1037" i="1"/>
  <c r="A1038" i="1"/>
  <c r="B1038" i="1"/>
  <c r="E1038" i="1"/>
  <c r="H1038" i="1"/>
  <c r="I1038" i="1"/>
  <c r="A1118" i="1"/>
  <c r="B1118" i="1"/>
  <c r="E1118" i="1"/>
  <c r="H1118" i="1"/>
  <c r="I1118" i="1"/>
  <c r="A1039" i="1"/>
  <c r="B1039" i="1"/>
  <c r="E1039" i="1"/>
  <c r="H1039" i="1"/>
  <c r="I1039" i="1"/>
  <c r="A1088" i="1"/>
  <c r="B1088" i="1"/>
  <c r="E1088" i="1"/>
  <c r="H1088" i="1"/>
  <c r="I1088" i="1"/>
  <c r="A1040" i="1"/>
  <c r="B1040" i="1"/>
  <c r="E1040" i="1"/>
  <c r="H1040" i="1"/>
  <c r="I1040" i="1"/>
  <c r="A1147" i="1"/>
  <c r="B1147" i="1"/>
  <c r="E1147" i="1"/>
  <c r="H1147" i="1"/>
  <c r="I1147" i="1"/>
  <c r="A1148" i="1"/>
  <c r="B1148" i="1"/>
  <c r="E1148" i="1"/>
  <c r="H1148" i="1"/>
  <c r="I1148" i="1"/>
  <c r="A1158" i="1"/>
  <c r="B1158" i="1"/>
  <c r="E1158" i="1"/>
  <c r="H1158" i="1"/>
  <c r="I1158" i="1"/>
  <c r="A1149" i="1"/>
  <c r="B1149" i="1"/>
  <c r="E1149" i="1"/>
  <c r="H1149" i="1"/>
  <c r="I1149" i="1"/>
  <c r="A1025" i="1"/>
  <c r="B1025" i="1"/>
  <c r="E1025" i="1"/>
  <c r="H1025" i="1"/>
  <c r="I1025" i="1"/>
  <c r="A1126" i="1"/>
  <c r="B1126" i="1"/>
  <c r="E1126" i="1"/>
  <c r="H1126" i="1"/>
  <c r="I1126" i="1"/>
  <c r="A1041" i="1"/>
  <c r="B1041" i="1"/>
  <c r="E1041" i="1"/>
  <c r="H1041" i="1"/>
  <c r="I1041" i="1"/>
  <c r="A1089" i="1"/>
  <c r="B1089" i="1"/>
  <c r="E1089" i="1"/>
  <c r="H1089" i="1"/>
  <c r="I1089" i="1"/>
  <c r="A1066" i="1"/>
  <c r="B1066" i="1"/>
  <c r="E1066" i="1"/>
  <c r="H1066" i="1"/>
  <c r="I1066" i="1"/>
  <c r="A1139" i="1"/>
  <c r="B1139" i="1"/>
  <c r="E1139" i="1"/>
  <c r="H1139" i="1"/>
  <c r="I1139" i="1"/>
  <c r="A435" i="1"/>
  <c r="B435" i="1"/>
  <c r="E435" i="1"/>
  <c r="H435" i="1"/>
  <c r="I435" i="1"/>
  <c r="A442" i="1"/>
  <c r="B442" i="1"/>
  <c r="E442" i="1"/>
  <c r="H442" i="1"/>
  <c r="I442" i="1"/>
  <c r="A2473" i="1"/>
  <c r="B2473" i="1"/>
  <c r="E2473" i="1"/>
  <c r="H2473" i="1"/>
  <c r="I2473" i="1"/>
  <c r="A103" i="1"/>
  <c r="B103" i="1"/>
  <c r="E103" i="1"/>
  <c r="H103" i="1"/>
  <c r="I103" i="1"/>
  <c r="A3141" i="1"/>
  <c r="B3141" i="1"/>
  <c r="E3141" i="1"/>
  <c r="H3141" i="1"/>
  <c r="I3141" i="1"/>
  <c r="A3150" i="1"/>
  <c r="B3150" i="1"/>
  <c r="E3150" i="1"/>
  <c r="H3150" i="1"/>
  <c r="I3150" i="1"/>
  <c r="A3151" i="1"/>
  <c r="B3151" i="1"/>
  <c r="E3151" i="1"/>
  <c r="H3151" i="1"/>
  <c r="I3151" i="1"/>
  <c r="A3142" i="1"/>
  <c r="B3142" i="1"/>
  <c r="E3142" i="1"/>
  <c r="H3142" i="1"/>
  <c r="I3142" i="1"/>
  <c r="A3143" i="1"/>
  <c r="B3143" i="1"/>
  <c r="E3143" i="1"/>
  <c r="H3143" i="1"/>
  <c r="I3143" i="1"/>
  <c r="A3148" i="1"/>
  <c r="B3148" i="1"/>
  <c r="E3148" i="1"/>
  <c r="H3148" i="1"/>
  <c r="I3148" i="1"/>
  <c r="A3149" i="1"/>
  <c r="B3149" i="1"/>
  <c r="E3149" i="1"/>
  <c r="H3149" i="1"/>
  <c r="I3149" i="1"/>
  <c r="A3152" i="1"/>
  <c r="B3152" i="1"/>
  <c r="E3152" i="1"/>
  <c r="H3152" i="1"/>
  <c r="I3152" i="1"/>
  <c r="A3153" i="1"/>
  <c r="B3153" i="1"/>
  <c r="E3153" i="1"/>
  <c r="H3153" i="1"/>
  <c r="I3153" i="1"/>
  <c r="A3144" i="1"/>
  <c r="B3144" i="1"/>
  <c r="E3144" i="1"/>
  <c r="H3144" i="1"/>
  <c r="I3144" i="1"/>
  <c r="A3145" i="1"/>
  <c r="B3145" i="1"/>
  <c r="E3145" i="1"/>
  <c r="H3145" i="1"/>
  <c r="I3145" i="1"/>
  <c r="A1485" i="1"/>
  <c r="B1485" i="1"/>
  <c r="E1485" i="1"/>
  <c r="H1485" i="1"/>
  <c r="I1485" i="1"/>
  <c r="A1486" i="1"/>
  <c r="B1486" i="1"/>
  <c r="E1486" i="1"/>
  <c r="H1486" i="1"/>
  <c r="I1486" i="1"/>
  <c r="A1513" i="1"/>
  <c r="B1513" i="1"/>
  <c r="E1513" i="1"/>
  <c r="H1513" i="1"/>
  <c r="I1513" i="1"/>
  <c r="A2727" i="1"/>
  <c r="B2727" i="1"/>
  <c r="E2727" i="1"/>
  <c r="H2727" i="1"/>
  <c r="I2727" i="1"/>
  <c r="A632" i="1"/>
  <c r="B632" i="1"/>
  <c r="E632" i="1"/>
  <c r="H632" i="1"/>
  <c r="I632" i="1"/>
  <c r="A1386" i="1"/>
  <c r="B1386" i="1"/>
  <c r="E1386" i="1"/>
  <c r="H1386" i="1"/>
  <c r="I1386" i="1"/>
  <c r="A1923" i="1"/>
  <c r="B1923" i="1"/>
  <c r="E1923" i="1"/>
  <c r="H1923" i="1"/>
  <c r="I1923" i="1"/>
  <c r="A1909" i="1"/>
  <c r="B1909" i="1"/>
  <c r="E1909" i="1"/>
  <c r="H1909" i="1"/>
  <c r="I1909" i="1"/>
  <c r="A521" i="1"/>
  <c r="B521" i="1"/>
  <c r="E521" i="1"/>
  <c r="H521" i="1"/>
  <c r="I521" i="1"/>
  <c r="A1849" i="1"/>
  <c r="B1849" i="1"/>
  <c r="E1849" i="1"/>
  <c r="H1849" i="1"/>
  <c r="I1849" i="1"/>
  <c r="A1852" i="1"/>
  <c r="B1852" i="1"/>
  <c r="E1852" i="1"/>
  <c r="H1852" i="1"/>
  <c r="I1852" i="1"/>
  <c r="A753" i="1"/>
  <c r="B753" i="1"/>
  <c r="E753" i="1"/>
  <c r="H753" i="1"/>
  <c r="I753" i="1"/>
  <c r="A746" i="1"/>
  <c r="B746" i="1"/>
  <c r="E746" i="1"/>
  <c r="H746" i="1"/>
  <c r="I746" i="1"/>
  <c r="A595" i="1"/>
  <c r="B595" i="1"/>
  <c r="E595" i="1"/>
  <c r="H595" i="1"/>
  <c r="I595" i="1"/>
  <c r="A613" i="1"/>
  <c r="B613" i="1"/>
  <c r="E613" i="1"/>
  <c r="H613" i="1"/>
  <c r="I613" i="1"/>
  <c r="A3606" i="1"/>
  <c r="B3606" i="1"/>
  <c r="E3606" i="1"/>
  <c r="H3606" i="1"/>
  <c r="I3606" i="1"/>
  <c r="A1514" i="1"/>
  <c r="B1514" i="1"/>
  <c r="E1514" i="1"/>
  <c r="H1514" i="1"/>
  <c r="I1514" i="1"/>
  <c r="A1042" i="1"/>
  <c r="B1042" i="1"/>
  <c r="E1042" i="1"/>
  <c r="H1042" i="1"/>
  <c r="I1042" i="1"/>
  <c r="A1083" i="1"/>
  <c r="B1083" i="1"/>
  <c r="E1083" i="1"/>
  <c r="H1083" i="1"/>
  <c r="I1083" i="1"/>
  <c r="A1123" i="1"/>
  <c r="B1123" i="1"/>
  <c r="E1123" i="1"/>
  <c r="H1123" i="1"/>
  <c r="I1123" i="1"/>
  <c r="A1112" i="1"/>
  <c r="B1112" i="1"/>
  <c r="E1112" i="1"/>
  <c r="H1112" i="1"/>
  <c r="I1112" i="1"/>
  <c r="A1043" i="1"/>
  <c r="B1043" i="1"/>
  <c r="E1043" i="1"/>
  <c r="H1043" i="1"/>
  <c r="I1043" i="1"/>
  <c r="A1090" i="1"/>
  <c r="B1090" i="1"/>
  <c r="E1090" i="1"/>
  <c r="H1090" i="1"/>
  <c r="I1090" i="1"/>
  <c r="A1099" i="1"/>
  <c r="B1099" i="1"/>
  <c r="E1099" i="1"/>
  <c r="H1099" i="1"/>
  <c r="I1099" i="1"/>
  <c r="A1107" i="1"/>
  <c r="B1107" i="1"/>
  <c r="E1107" i="1"/>
  <c r="H1107" i="1"/>
  <c r="I1107" i="1"/>
  <c r="A1006" i="1"/>
  <c r="B1006" i="1"/>
  <c r="E1006" i="1"/>
  <c r="H1006" i="1"/>
  <c r="I1006" i="1"/>
  <c r="A1076" i="1"/>
  <c r="B1076" i="1"/>
  <c r="E1076" i="1"/>
  <c r="H1076" i="1"/>
  <c r="I1076" i="1"/>
  <c r="A1026" i="1"/>
  <c r="B1026" i="1"/>
  <c r="E1026" i="1"/>
  <c r="H1026" i="1"/>
  <c r="I1026" i="1"/>
  <c r="A1044" i="1"/>
  <c r="B1044" i="1"/>
  <c r="E1044" i="1"/>
  <c r="H1044" i="1"/>
  <c r="I1044" i="1"/>
  <c r="A1045" i="1"/>
  <c r="B1045" i="1"/>
  <c r="E1045" i="1"/>
  <c r="H1045" i="1"/>
  <c r="I1045" i="1"/>
  <c r="A1071" i="1"/>
  <c r="B1071" i="1"/>
  <c r="E1071" i="1"/>
  <c r="H1071" i="1"/>
  <c r="I1071" i="1"/>
  <c r="A1115" i="1"/>
  <c r="B1115" i="1"/>
  <c r="E1115" i="1"/>
  <c r="H1115" i="1"/>
  <c r="I1115" i="1"/>
  <c r="A1103" i="1"/>
  <c r="B1103" i="1"/>
  <c r="E1103" i="1"/>
  <c r="H1103" i="1"/>
  <c r="I1103" i="1"/>
  <c r="A1119" i="1"/>
  <c r="B1119" i="1"/>
  <c r="E1119" i="1"/>
  <c r="H1119" i="1"/>
  <c r="I1119" i="1"/>
  <c r="A1150" i="1"/>
  <c r="B1150" i="1"/>
  <c r="E1150" i="1"/>
  <c r="H1150" i="1"/>
  <c r="I1150" i="1"/>
  <c r="A1159" i="1"/>
  <c r="B1159" i="1"/>
  <c r="E1159" i="1"/>
  <c r="H1159" i="1"/>
  <c r="I1159" i="1"/>
  <c r="A1046" i="1"/>
  <c r="B1046" i="1"/>
  <c r="E1046" i="1"/>
  <c r="H1046" i="1"/>
  <c r="I1046" i="1"/>
  <c r="A1016" i="1"/>
  <c r="B1016" i="1"/>
  <c r="E1016" i="1"/>
  <c r="H1016" i="1"/>
  <c r="I1016" i="1"/>
  <c r="A1062" i="1"/>
  <c r="B1062" i="1"/>
  <c r="E1062" i="1"/>
  <c r="H1062" i="1"/>
  <c r="I1062" i="1"/>
  <c r="A1007" i="1"/>
  <c r="B1007" i="1"/>
  <c r="E1007" i="1"/>
  <c r="H1007" i="1"/>
  <c r="I1007" i="1"/>
  <c r="A1079" i="1"/>
  <c r="B1079" i="1"/>
  <c r="E1079" i="1"/>
  <c r="H1079" i="1"/>
  <c r="I1079" i="1"/>
  <c r="A1000" i="1"/>
  <c r="B1000" i="1"/>
  <c r="E1000" i="1"/>
  <c r="H1000" i="1"/>
  <c r="I1000" i="1"/>
  <c r="A1144" i="1"/>
  <c r="B1144" i="1"/>
  <c r="E1144" i="1"/>
  <c r="H1144" i="1"/>
  <c r="I1144" i="1"/>
  <c r="A1132" i="1"/>
  <c r="B1132" i="1"/>
  <c r="E1132" i="1"/>
  <c r="H1132" i="1"/>
  <c r="I1132" i="1"/>
  <c r="A996" i="1"/>
  <c r="B996" i="1"/>
  <c r="E996" i="1"/>
  <c r="H996" i="1"/>
  <c r="I996" i="1"/>
  <c r="A1151" i="1"/>
  <c r="B1151" i="1"/>
  <c r="E1151" i="1"/>
  <c r="H1151" i="1"/>
  <c r="I1151" i="1"/>
  <c r="A1012" i="1"/>
  <c r="B1012" i="1"/>
  <c r="E1012" i="1"/>
  <c r="H1012" i="1"/>
  <c r="I1012" i="1"/>
  <c r="A1091" i="1"/>
  <c r="B1091" i="1"/>
  <c r="E1091" i="1"/>
  <c r="H1091" i="1"/>
  <c r="I1091" i="1"/>
  <c r="A1047" i="1"/>
  <c r="B1047" i="1"/>
  <c r="E1047" i="1"/>
  <c r="H1047" i="1"/>
  <c r="I1047" i="1"/>
  <c r="A1080" i="1"/>
  <c r="B1080" i="1"/>
  <c r="E1080" i="1"/>
  <c r="H1080" i="1"/>
  <c r="I1080" i="1"/>
  <c r="A1072" i="1"/>
  <c r="B1072" i="1"/>
  <c r="E1072" i="1"/>
  <c r="H1072" i="1"/>
  <c r="I1072" i="1"/>
  <c r="A1084" i="1"/>
  <c r="B1084" i="1"/>
  <c r="E1084" i="1"/>
  <c r="H1084" i="1"/>
  <c r="I1084" i="1"/>
  <c r="A1048" i="1"/>
  <c r="B1048" i="1"/>
  <c r="E1048" i="1"/>
  <c r="H1048" i="1"/>
  <c r="I1048" i="1"/>
  <c r="A1092" i="1"/>
  <c r="B1092" i="1"/>
  <c r="E1092" i="1"/>
  <c r="H1092" i="1"/>
  <c r="I1092" i="1"/>
  <c r="A1100" i="1"/>
  <c r="B1100" i="1"/>
  <c r="E1100" i="1"/>
  <c r="H1100" i="1"/>
  <c r="I1100" i="1"/>
  <c r="A1133" i="1"/>
  <c r="B1133" i="1"/>
  <c r="E1133" i="1"/>
  <c r="H1133" i="1"/>
  <c r="I1133" i="1"/>
  <c r="A1017" i="1"/>
  <c r="B1017" i="1"/>
  <c r="E1017" i="1"/>
  <c r="H1017" i="1"/>
  <c r="I1017" i="1"/>
  <c r="A1059" i="1"/>
  <c r="B1059" i="1"/>
  <c r="E1059" i="1"/>
  <c r="H1059" i="1"/>
  <c r="I1059" i="1"/>
  <c r="A1116" i="1"/>
  <c r="B1116" i="1"/>
  <c r="E1116" i="1"/>
  <c r="H1116" i="1"/>
  <c r="I1116" i="1"/>
  <c r="A1124" i="1"/>
  <c r="B1124" i="1"/>
  <c r="E1124" i="1"/>
  <c r="H1124" i="1"/>
  <c r="I1124" i="1"/>
  <c r="A1108" i="1"/>
  <c r="B1108" i="1"/>
  <c r="E1108" i="1"/>
  <c r="H1108" i="1"/>
  <c r="I1108" i="1"/>
  <c r="A997" i="1"/>
  <c r="B997" i="1"/>
  <c r="E997" i="1"/>
  <c r="H997" i="1"/>
  <c r="I997" i="1"/>
  <c r="A1027" i="1"/>
  <c r="B1027" i="1"/>
  <c r="E1027" i="1"/>
  <c r="H1027" i="1"/>
  <c r="I1027" i="1"/>
  <c r="A1152" i="1"/>
  <c r="B1152" i="1"/>
  <c r="E1152" i="1"/>
  <c r="H1152" i="1"/>
  <c r="I1152" i="1"/>
  <c r="A1063" i="1"/>
  <c r="B1063" i="1"/>
  <c r="E1063" i="1"/>
  <c r="H1063" i="1"/>
  <c r="I1063" i="1"/>
  <c r="A1127" i="1"/>
  <c r="B1127" i="1"/>
  <c r="E1127" i="1"/>
  <c r="H1127" i="1"/>
  <c r="I1127" i="1"/>
  <c r="A1067" i="1"/>
  <c r="B1067" i="1"/>
  <c r="E1067" i="1"/>
  <c r="H1067" i="1"/>
  <c r="I1067" i="1"/>
  <c r="A1001" i="1"/>
  <c r="B1001" i="1"/>
  <c r="E1001" i="1"/>
  <c r="H1001" i="1"/>
  <c r="I1001" i="1"/>
  <c r="A1008" i="1"/>
  <c r="B1008" i="1"/>
  <c r="E1008" i="1"/>
  <c r="H1008" i="1"/>
  <c r="I1008" i="1"/>
  <c r="A1013" i="1"/>
  <c r="B1013" i="1"/>
  <c r="E1013" i="1"/>
  <c r="H1013" i="1"/>
  <c r="I1013" i="1"/>
  <c r="A1021" i="1"/>
  <c r="B1021" i="1"/>
  <c r="E1021" i="1"/>
  <c r="H1021" i="1"/>
  <c r="I1021" i="1"/>
  <c r="A1140" i="1"/>
  <c r="B1140" i="1"/>
  <c r="E1140" i="1"/>
  <c r="H1140" i="1"/>
  <c r="I1140" i="1"/>
  <c r="A2599" i="1"/>
  <c r="B2599" i="1"/>
  <c r="E2599" i="1"/>
  <c r="H2599" i="1"/>
  <c r="I2599" i="1"/>
  <c r="A2600" i="1"/>
  <c r="B2600" i="1"/>
  <c r="E2600" i="1"/>
  <c r="H2600" i="1"/>
  <c r="I2600" i="1"/>
  <c r="A2612" i="1"/>
  <c r="B2612" i="1"/>
  <c r="E2612" i="1"/>
  <c r="H2612" i="1"/>
  <c r="I2612" i="1"/>
  <c r="A2613" i="1"/>
  <c r="B2613" i="1"/>
  <c r="E2613" i="1"/>
  <c r="H2613" i="1"/>
  <c r="I2613" i="1"/>
  <c r="A2597" i="1"/>
  <c r="B2597" i="1"/>
  <c r="E2597" i="1"/>
  <c r="H2597" i="1"/>
  <c r="I2597" i="1"/>
  <c r="A2609" i="1"/>
  <c r="B2609" i="1"/>
  <c r="E2609" i="1"/>
  <c r="H2609" i="1"/>
  <c r="I2609" i="1"/>
  <c r="A2610" i="1"/>
  <c r="B2610" i="1"/>
  <c r="E2610" i="1"/>
  <c r="H2610" i="1"/>
  <c r="I2610" i="1"/>
  <c r="A2606" i="1"/>
  <c r="B2606" i="1"/>
  <c r="E2606" i="1"/>
  <c r="H2606" i="1"/>
  <c r="I2606" i="1"/>
  <c r="A2595" i="1"/>
  <c r="B2595" i="1"/>
  <c r="E2595" i="1"/>
  <c r="H2595" i="1"/>
  <c r="I2595" i="1"/>
  <c r="A2608" i="1"/>
  <c r="B2608" i="1"/>
  <c r="E2608" i="1"/>
  <c r="H2608" i="1"/>
  <c r="I2608" i="1"/>
  <c r="A2614" i="1"/>
  <c r="B2614" i="1"/>
  <c r="E2614" i="1"/>
  <c r="H2614" i="1"/>
  <c r="I2614" i="1"/>
  <c r="A2604" i="1"/>
  <c r="B2604" i="1"/>
  <c r="E2604" i="1"/>
  <c r="H2604" i="1"/>
  <c r="I2604" i="1"/>
  <c r="A2605" i="1"/>
  <c r="B2605" i="1"/>
  <c r="E2605" i="1"/>
  <c r="H2605" i="1"/>
  <c r="I2605" i="1"/>
  <c r="A2607" i="1"/>
  <c r="B2607" i="1"/>
  <c r="E2607" i="1"/>
  <c r="H2607" i="1"/>
  <c r="I2607" i="1"/>
  <c r="A2603" i="1"/>
  <c r="B2603" i="1"/>
  <c r="E2603" i="1"/>
  <c r="H2603" i="1"/>
  <c r="I2603" i="1"/>
  <c r="A2596" i="1"/>
  <c r="B2596" i="1"/>
  <c r="E2596" i="1"/>
  <c r="H2596" i="1"/>
  <c r="I2596" i="1"/>
  <c r="A2598" i="1"/>
  <c r="B2598" i="1"/>
  <c r="E2598" i="1"/>
  <c r="H2598" i="1"/>
  <c r="I2598" i="1"/>
  <c r="A2611" i="1"/>
  <c r="B2611" i="1"/>
  <c r="E2611" i="1"/>
  <c r="H2611" i="1"/>
  <c r="I2611" i="1"/>
  <c r="A2601" i="1"/>
  <c r="B2601" i="1"/>
  <c r="E2601" i="1"/>
  <c r="H2601" i="1"/>
  <c r="I2601" i="1"/>
  <c r="A2602" i="1"/>
  <c r="B2602" i="1"/>
  <c r="E2602" i="1"/>
  <c r="H2602" i="1"/>
  <c r="I2602" i="1"/>
  <c r="A2515" i="1"/>
  <c r="B2515" i="1"/>
  <c r="E2515" i="1"/>
  <c r="H2515" i="1"/>
  <c r="I2515" i="1"/>
  <c r="A2516" i="1"/>
  <c r="B2516" i="1"/>
  <c r="E2516" i="1"/>
  <c r="H2516" i="1"/>
  <c r="I2516" i="1"/>
  <c r="A2517" i="1"/>
  <c r="B2517" i="1"/>
  <c r="E2517" i="1"/>
  <c r="H2517" i="1"/>
  <c r="I2517" i="1"/>
  <c r="A2518" i="1"/>
  <c r="B2518" i="1"/>
  <c r="E2518" i="1"/>
  <c r="H2518" i="1"/>
  <c r="I2518" i="1"/>
  <c r="A2519" i="1"/>
  <c r="B2519" i="1"/>
  <c r="E2519" i="1"/>
  <c r="H2519" i="1"/>
  <c r="I2519" i="1"/>
  <c r="A2520" i="1"/>
  <c r="B2520" i="1"/>
  <c r="E2520" i="1"/>
  <c r="H2520" i="1"/>
  <c r="I2520" i="1"/>
  <c r="A2525" i="1"/>
  <c r="B2525" i="1"/>
  <c r="E2525" i="1"/>
  <c r="H2525" i="1"/>
  <c r="I2525" i="1"/>
  <c r="A2526" i="1"/>
  <c r="B2526" i="1"/>
  <c r="E2526" i="1"/>
  <c r="H2526" i="1"/>
  <c r="I2526" i="1"/>
  <c r="A2523" i="1"/>
  <c r="B2523" i="1"/>
  <c r="E2523" i="1"/>
  <c r="H2523" i="1"/>
  <c r="I2523" i="1"/>
  <c r="A2524" i="1"/>
  <c r="B2524" i="1"/>
  <c r="E2524" i="1"/>
  <c r="H2524" i="1"/>
  <c r="I2524" i="1"/>
  <c r="A2521" i="1"/>
  <c r="B2521" i="1"/>
  <c r="E2521" i="1"/>
  <c r="H2521" i="1"/>
  <c r="I2521" i="1"/>
  <c r="A2522" i="1"/>
  <c r="B2522" i="1"/>
  <c r="E2522" i="1"/>
  <c r="H2522" i="1"/>
  <c r="I2522" i="1"/>
  <c r="A2529" i="1"/>
  <c r="B2529" i="1"/>
  <c r="E2529" i="1"/>
  <c r="H2529" i="1"/>
  <c r="I2529" i="1"/>
  <c r="A2530" i="1"/>
  <c r="B2530" i="1"/>
  <c r="E2530" i="1"/>
  <c r="H2530" i="1"/>
  <c r="I2530" i="1"/>
  <c r="A2531" i="1"/>
  <c r="B2531" i="1"/>
  <c r="E2531" i="1"/>
  <c r="H2531" i="1"/>
  <c r="I2531" i="1"/>
  <c r="A2532" i="1"/>
  <c r="B2532" i="1"/>
  <c r="E2532" i="1"/>
  <c r="H2532" i="1"/>
  <c r="I2532" i="1"/>
  <c r="A2536" i="1"/>
  <c r="B2536" i="1"/>
  <c r="E2536" i="1"/>
  <c r="H2536" i="1"/>
  <c r="I2536" i="1"/>
  <c r="A2537" i="1"/>
  <c r="B2537" i="1"/>
  <c r="E2537" i="1"/>
  <c r="H2537" i="1"/>
  <c r="I2537" i="1"/>
  <c r="A2527" i="1"/>
  <c r="B2527" i="1"/>
  <c r="E2527" i="1"/>
  <c r="H2527" i="1"/>
  <c r="I2527" i="1"/>
  <c r="A2528" i="1"/>
  <c r="B2528" i="1"/>
  <c r="E2528" i="1"/>
  <c r="H2528" i="1"/>
  <c r="I2528" i="1"/>
  <c r="A2533" i="1"/>
  <c r="B2533" i="1"/>
  <c r="E2533" i="1"/>
  <c r="H2533" i="1"/>
  <c r="I2533" i="1"/>
  <c r="A2534" i="1"/>
  <c r="B2534" i="1"/>
  <c r="E2534" i="1"/>
  <c r="H2534" i="1"/>
  <c r="I2534" i="1"/>
  <c r="A2540" i="1"/>
  <c r="B2540" i="1"/>
  <c r="E2540" i="1"/>
  <c r="H2540" i="1"/>
  <c r="I2540" i="1"/>
  <c r="A2541" i="1"/>
  <c r="B2541" i="1"/>
  <c r="E2541" i="1"/>
  <c r="H2541" i="1"/>
  <c r="I2541" i="1"/>
  <c r="A2538" i="1"/>
  <c r="B2538" i="1"/>
  <c r="E2538" i="1"/>
  <c r="H2538" i="1"/>
  <c r="I2538" i="1"/>
  <c r="A2539" i="1"/>
  <c r="B2539" i="1"/>
  <c r="E2539" i="1"/>
  <c r="H2539" i="1"/>
  <c r="I2539" i="1"/>
  <c r="A2535" i="1"/>
  <c r="B2535" i="1"/>
  <c r="E2535" i="1"/>
  <c r="H2535" i="1"/>
  <c r="I2535" i="1"/>
  <c r="A1641" i="1"/>
  <c r="B1641" i="1"/>
  <c r="E1641" i="1"/>
  <c r="H1641" i="1"/>
  <c r="I1641" i="1"/>
  <c r="A1642" i="1"/>
  <c r="B1642" i="1"/>
  <c r="E1642" i="1"/>
  <c r="H1642" i="1"/>
  <c r="I1642" i="1"/>
  <c r="A1627" i="1"/>
  <c r="B1627" i="1"/>
  <c r="E1627" i="1"/>
  <c r="H1627" i="1"/>
  <c r="I1627" i="1"/>
  <c r="A1628" i="1"/>
  <c r="B1628" i="1"/>
  <c r="E1628" i="1"/>
  <c r="H1628" i="1"/>
  <c r="I1628" i="1"/>
  <c r="A1655" i="1"/>
  <c r="B1655" i="1"/>
  <c r="E1655" i="1"/>
  <c r="H1655" i="1"/>
  <c r="I1655" i="1"/>
  <c r="A1656" i="1"/>
  <c r="B1656" i="1"/>
  <c r="E1656" i="1"/>
  <c r="H1656" i="1"/>
  <c r="I1656" i="1"/>
  <c r="A2458" i="1"/>
  <c r="B2458" i="1"/>
  <c r="E2458" i="1"/>
  <c r="H2458" i="1"/>
  <c r="I2458" i="1"/>
  <c r="A2474" i="1"/>
  <c r="B2474" i="1"/>
  <c r="E2474" i="1"/>
  <c r="H2474" i="1"/>
  <c r="I2474" i="1"/>
  <c r="A2465" i="1"/>
  <c r="B2465" i="1"/>
  <c r="E2465" i="1"/>
  <c r="H2465" i="1"/>
  <c r="I2465" i="1"/>
  <c r="A2466" i="1"/>
  <c r="B2466" i="1"/>
  <c r="E2466" i="1"/>
  <c r="H2466" i="1"/>
  <c r="I2466" i="1"/>
  <c r="A2467" i="1"/>
  <c r="B2467" i="1"/>
  <c r="E2467" i="1"/>
  <c r="H2467" i="1"/>
  <c r="I2467" i="1"/>
  <c r="A2491" i="1"/>
  <c r="B2491" i="1"/>
  <c r="E2491" i="1"/>
  <c r="H2491" i="1"/>
  <c r="I2491" i="1"/>
  <c r="A2499" i="1"/>
  <c r="B2499" i="1"/>
  <c r="E2499" i="1"/>
  <c r="H2499" i="1"/>
  <c r="I2499" i="1"/>
  <c r="A2496" i="1"/>
  <c r="B2496" i="1"/>
  <c r="E2496" i="1"/>
  <c r="H2496" i="1"/>
  <c r="I2496" i="1"/>
  <c r="A2463" i="1"/>
  <c r="B2463" i="1"/>
  <c r="E2463" i="1"/>
  <c r="H2463" i="1"/>
  <c r="I2463" i="1"/>
  <c r="A2479" i="1"/>
  <c r="B2479" i="1"/>
  <c r="E2479" i="1"/>
  <c r="H2479" i="1"/>
  <c r="I2479" i="1"/>
  <c r="A2475" i="1"/>
  <c r="B2475" i="1"/>
  <c r="E2475" i="1"/>
  <c r="H2475" i="1"/>
  <c r="I2475" i="1"/>
  <c r="A2477" i="1"/>
  <c r="B2477" i="1"/>
  <c r="E2477" i="1"/>
  <c r="H2477" i="1"/>
  <c r="I2477" i="1"/>
  <c r="A2494" i="1"/>
  <c r="B2494" i="1"/>
  <c r="E2494" i="1"/>
  <c r="H2494" i="1"/>
  <c r="I2494" i="1"/>
  <c r="A2488" i="1"/>
  <c r="B2488" i="1"/>
  <c r="E2488" i="1"/>
  <c r="H2488" i="1"/>
  <c r="I2488" i="1"/>
  <c r="A2462" i="1"/>
  <c r="B2462" i="1"/>
  <c r="E2462" i="1"/>
  <c r="H2462" i="1"/>
  <c r="I2462" i="1"/>
  <c r="A2481" i="1"/>
  <c r="B2481" i="1"/>
  <c r="E2481" i="1"/>
  <c r="H2481" i="1"/>
  <c r="I2481" i="1"/>
  <c r="A2486" i="1"/>
  <c r="B2486" i="1"/>
  <c r="E2486" i="1"/>
  <c r="H2486" i="1"/>
  <c r="I2486" i="1"/>
  <c r="A2502" i="1"/>
  <c r="B2502" i="1"/>
  <c r="E2502" i="1"/>
  <c r="H2502" i="1"/>
  <c r="I2502" i="1"/>
  <c r="A2500" i="1"/>
  <c r="B2500" i="1"/>
  <c r="E2500" i="1"/>
  <c r="H2500" i="1"/>
  <c r="I2500" i="1"/>
  <c r="A2506" i="1"/>
  <c r="B2506" i="1"/>
  <c r="E2506" i="1"/>
  <c r="H2506" i="1"/>
  <c r="I2506" i="1"/>
  <c r="A2504" i="1"/>
  <c r="B2504" i="1"/>
  <c r="E2504" i="1"/>
  <c r="H2504" i="1"/>
  <c r="I2504" i="1"/>
  <c r="A2508" i="1"/>
  <c r="B2508" i="1"/>
  <c r="E2508" i="1"/>
  <c r="H2508" i="1"/>
  <c r="I2508" i="1"/>
  <c r="A2513" i="1"/>
  <c r="B2513" i="1"/>
  <c r="E2513" i="1"/>
  <c r="H2513" i="1"/>
  <c r="I2513" i="1"/>
  <c r="A2511" i="1"/>
  <c r="B2511" i="1"/>
  <c r="E2511" i="1"/>
  <c r="H2511" i="1"/>
  <c r="I2511" i="1"/>
  <c r="A2510" i="1"/>
  <c r="B2510" i="1"/>
  <c r="E2510" i="1"/>
  <c r="H2510" i="1"/>
  <c r="I2510" i="1"/>
  <c r="A3059" i="1"/>
  <c r="B3059" i="1"/>
  <c r="E3059" i="1"/>
  <c r="H3059" i="1"/>
  <c r="I3059" i="1"/>
  <c r="A3075" i="1"/>
  <c r="B3075" i="1"/>
  <c r="E3075" i="1"/>
  <c r="H3075" i="1"/>
  <c r="I3075" i="1"/>
  <c r="A3076" i="1"/>
  <c r="B3076" i="1"/>
  <c r="E3076" i="1"/>
  <c r="H3076" i="1"/>
  <c r="I3076" i="1"/>
  <c r="A3053" i="1"/>
  <c r="B3053" i="1"/>
  <c r="E3053" i="1"/>
  <c r="H3053" i="1"/>
  <c r="I3053" i="1"/>
  <c r="A3054" i="1"/>
  <c r="B3054" i="1"/>
  <c r="E3054" i="1"/>
  <c r="H3054" i="1"/>
  <c r="I3054" i="1"/>
  <c r="A3060" i="1"/>
  <c r="B3060" i="1"/>
  <c r="E3060" i="1"/>
  <c r="H3060" i="1"/>
  <c r="I3060" i="1"/>
  <c r="A2296" i="1"/>
  <c r="B2296" i="1"/>
  <c r="E2296" i="1"/>
  <c r="H2296" i="1"/>
  <c r="I2296" i="1"/>
  <c r="A2297" i="1"/>
  <c r="B2297" i="1"/>
  <c r="E2297" i="1"/>
  <c r="H2297" i="1"/>
  <c r="I2297" i="1"/>
  <c r="A2260" i="1"/>
  <c r="B2260" i="1"/>
  <c r="E2260" i="1"/>
  <c r="H2260" i="1"/>
  <c r="I2260" i="1"/>
  <c r="A2261" i="1"/>
  <c r="B2261" i="1"/>
  <c r="E2261" i="1"/>
  <c r="H2261" i="1"/>
  <c r="I2261" i="1"/>
  <c r="A2266" i="1"/>
  <c r="B2266" i="1"/>
  <c r="E2266" i="1"/>
  <c r="H2266" i="1"/>
  <c r="I2266" i="1"/>
  <c r="A2267" i="1"/>
  <c r="B2267" i="1"/>
  <c r="E2267" i="1"/>
  <c r="H2267" i="1"/>
  <c r="I2267" i="1"/>
  <c r="A2242" i="1"/>
  <c r="B2242" i="1"/>
  <c r="E2242" i="1"/>
  <c r="H2242" i="1"/>
  <c r="I2242" i="1"/>
  <c r="A2243" i="1"/>
  <c r="B2243" i="1"/>
  <c r="E2243" i="1"/>
  <c r="H2243" i="1"/>
  <c r="I2243" i="1"/>
  <c r="A2244" i="1"/>
  <c r="B2244" i="1"/>
  <c r="E2244" i="1"/>
  <c r="H2244" i="1"/>
  <c r="I2244" i="1"/>
  <c r="A2245" i="1"/>
  <c r="B2245" i="1"/>
  <c r="E2245" i="1"/>
  <c r="H2245" i="1"/>
  <c r="I2245" i="1"/>
  <c r="A2302" i="1"/>
  <c r="B2302" i="1"/>
  <c r="E2302" i="1"/>
  <c r="H2302" i="1"/>
  <c r="I2302" i="1"/>
  <c r="A2303" i="1"/>
  <c r="B2303" i="1"/>
  <c r="E2303" i="1"/>
  <c r="H2303" i="1"/>
  <c r="I2303" i="1"/>
  <c r="A2234" i="1"/>
  <c r="B2234" i="1"/>
  <c r="E2234" i="1"/>
  <c r="H2234" i="1"/>
  <c r="I2234" i="1"/>
  <c r="A2235" i="1"/>
  <c r="B2235" i="1"/>
  <c r="E2235" i="1"/>
  <c r="H2235" i="1"/>
  <c r="I2235" i="1"/>
  <c r="A2268" i="1"/>
  <c r="B2268" i="1"/>
  <c r="E2268" i="1"/>
  <c r="H2268" i="1"/>
  <c r="I2268" i="1"/>
  <c r="A2269" i="1"/>
  <c r="B2269" i="1"/>
  <c r="E2269" i="1"/>
  <c r="H2269" i="1"/>
  <c r="I2269" i="1"/>
  <c r="A2238" i="1"/>
  <c r="B2238" i="1"/>
  <c r="E2238" i="1"/>
  <c r="H2238" i="1"/>
  <c r="I2238" i="1"/>
  <c r="A2239" i="1"/>
  <c r="B2239" i="1"/>
  <c r="E2239" i="1"/>
  <c r="H2239" i="1"/>
  <c r="I2239" i="1"/>
  <c r="A2262" i="1"/>
  <c r="B2262" i="1"/>
  <c r="E2262" i="1"/>
  <c r="H2262" i="1"/>
  <c r="I2262" i="1"/>
  <c r="A2263" i="1"/>
  <c r="B2263" i="1"/>
  <c r="E2263" i="1"/>
  <c r="H2263" i="1"/>
  <c r="I2263" i="1"/>
  <c r="A2254" i="1"/>
  <c r="B2254" i="1"/>
  <c r="E2254" i="1"/>
  <c r="H2254" i="1"/>
  <c r="I2254" i="1"/>
  <c r="A2255" i="1"/>
  <c r="B2255" i="1"/>
  <c r="E2255" i="1"/>
  <c r="H2255" i="1"/>
  <c r="I2255" i="1"/>
  <c r="A2250" i="1"/>
  <c r="B2250" i="1"/>
  <c r="E2250" i="1"/>
  <c r="H2250" i="1"/>
  <c r="I2250" i="1"/>
  <c r="A2251" i="1"/>
  <c r="B2251" i="1"/>
  <c r="E2251" i="1"/>
  <c r="H2251" i="1"/>
  <c r="I2251" i="1"/>
  <c r="A2278" i="1"/>
  <c r="B2278" i="1"/>
  <c r="E2278" i="1"/>
  <c r="H2278" i="1"/>
  <c r="I2278" i="1"/>
  <c r="A2279" i="1"/>
  <c r="B2279" i="1"/>
  <c r="E2279" i="1"/>
  <c r="H2279" i="1"/>
  <c r="I2279" i="1"/>
  <c r="A2246" i="1"/>
  <c r="B2246" i="1"/>
  <c r="E2246" i="1"/>
  <c r="H2246" i="1"/>
  <c r="I2246" i="1"/>
  <c r="A2247" i="1"/>
  <c r="B2247" i="1"/>
  <c r="E2247" i="1"/>
  <c r="H2247" i="1"/>
  <c r="I2247" i="1"/>
  <c r="A2270" i="1"/>
  <c r="B2270" i="1"/>
  <c r="E2270" i="1"/>
  <c r="H2270" i="1"/>
  <c r="I2270" i="1"/>
  <c r="A2271" i="1"/>
  <c r="B2271" i="1"/>
  <c r="E2271" i="1"/>
  <c r="H2271" i="1"/>
  <c r="I2271" i="1"/>
  <c r="A2256" i="1"/>
  <c r="B2256" i="1"/>
  <c r="E2256" i="1"/>
  <c r="H2256" i="1"/>
  <c r="I2256" i="1"/>
  <c r="A2257" i="1"/>
  <c r="B2257" i="1"/>
  <c r="E2257" i="1"/>
  <c r="H2257" i="1"/>
  <c r="I2257" i="1"/>
  <c r="A2282" i="1"/>
  <c r="B2282" i="1"/>
  <c r="E2282" i="1"/>
  <c r="H2282" i="1"/>
  <c r="I2282" i="1"/>
  <c r="A2283" i="1"/>
  <c r="B2283" i="1"/>
  <c r="E2283" i="1"/>
  <c r="H2283" i="1"/>
  <c r="I2283" i="1"/>
  <c r="A2276" i="1"/>
  <c r="B2276" i="1"/>
  <c r="E2276" i="1"/>
  <c r="H2276" i="1"/>
  <c r="I2276" i="1"/>
  <c r="A2277" i="1"/>
  <c r="B2277" i="1"/>
  <c r="E2277" i="1"/>
  <c r="H2277" i="1"/>
  <c r="I2277" i="1"/>
  <c r="A2264" i="1"/>
  <c r="B2264" i="1"/>
  <c r="E2264" i="1"/>
  <c r="H2264" i="1"/>
  <c r="I2264" i="1"/>
  <c r="A2265" i="1"/>
  <c r="B2265" i="1"/>
  <c r="E2265" i="1"/>
  <c r="H2265" i="1"/>
  <c r="I2265" i="1"/>
  <c r="A2284" i="1"/>
  <c r="B2284" i="1"/>
  <c r="E2284" i="1"/>
  <c r="H2284" i="1"/>
  <c r="I2284" i="1"/>
  <c r="A2285" i="1"/>
  <c r="B2285" i="1"/>
  <c r="E2285" i="1"/>
  <c r="H2285" i="1"/>
  <c r="I2285" i="1"/>
  <c r="A2294" i="1"/>
  <c r="B2294" i="1"/>
  <c r="E2294" i="1"/>
  <c r="H2294" i="1"/>
  <c r="I2294" i="1"/>
  <c r="A2295" i="1"/>
  <c r="B2295" i="1"/>
  <c r="E2295" i="1"/>
  <c r="H2295" i="1"/>
  <c r="I2295" i="1"/>
  <c r="A2280" i="1"/>
  <c r="B2280" i="1"/>
  <c r="E2280" i="1"/>
  <c r="H2280" i="1"/>
  <c r="I2280" i="1"/>
  <c r="A2281" i="1"/>
  <c r="B2281" i="1"/>
  <c r="E2281" i="1"/>
  <c r="H2281" i="1"/>
  <c r="I2281" i="1"/>
  <c r="A2298" i="1"/>
  <c r="B2298" i="1"/>
  <c r="E2298" i="1"/>
  <c r="H2298" i="1"/>
  <c r="I2298" i="1"/>
  <c r="A2299" i="1"/>
  <c r="B2299" i="1"/>
  <c r="E2299" i="1"/>
  <c r="H2299" i="1"/>
  <c r="I2299" i="1"/>
  <c r="A2258" i="1"/>
  <c r="B2258" i="1"/>
  <c r="E2258" i="1"/>
  <c r="H2258" i="1"/>
  <c r="I2258" i="1"/>
  <c r="A2259" i="1"/>
  <c r="B2259" i="1"/>
  <c r="E2259" i="1"/>
  <c r="H2259" i="1"/>
  <c r="I2259" i="1"/>
  <c r="A2248" i="1"/>
  <c r="B2248" i="1"/>
  <c r="E2248" i="1"/>
  <c r="H2248" i="1"/>
  <c r="I2248" i="1"/>
  <c r="A2249" i="1"/>
  <c r="B2249" i="1"/>
  <c r="E2249" i="1"/>
  <c r="H2249" i="1"/>
  <c r="I2249" i="1"/>
  <c r="A2236" i="1"/>
  <c r="B2236" i="1"/>
  <c r="E2236" i="1"/>
  <c r="H2236" i="1"/>
  <c r="I2236" i="1"/>
  <c r="A2237" i="1"/>
  <c r="B2237" i="1"/>
  <c r="E2237" i="1"/>
  <c r="H2237" i="1"/>
  <c r="I2237" i="1"/>
  <c r="A2288" i="1"/>
  <c r="B2288" i="1"/>
  <c r="E2288" i="1"/>
  <c r="H2288" i="1"/>
  <c r="I2288" i="1"/>
  <c r="A2289" i="1"/>
  <c r="B2289" i="1"/>
  <c r="E2289" i="1"/>
  <c r="H2289" i="1"/>
  <c r="I2289" i="1"/>
  <c r="A2300" i="1"/>
  <c r="B2300" i="1"/>
  <c r="E2300" i="1"/>
  <c r="H2300" i="1"/>
  <c r="I2300" i="1"/>
  <c r="A2301" i="1"/>
  <c r="B2301" i="1"/>
  <c r="E2301" i="1"/>
  <c r="H2301" i="1"/>
  <c r="I2301" i="1"/>
  <c r="A2274" i="1"/>
  <c r="B2274" i="1"/>
  <c r="E2274" i="1"/>
  <c r="H2274" i="1"/>
  <c r="I2274" i="1"/>
  <c r="A2275" i="1"/>
  <c r="B2275" i="1"/>
  <c r="E2275" i="1"/>
  <c r="H2275" i="1"/>
  <c r="I2275" i="1"/>
  <c r="A2292" i="1"/>
  <c r="B2292" i="1"/>
  <c r="E2292" i="1"/>
  <c r="H2292" i="1"/>
  <c r="I2292" i="1"/>
  <c r="A2293" i="1"/>
  <c r="B2293" i="1"/>
  <c r="E2293" i="1"/>
  <c r="H2293" i="1"/>
  <c r="I2293" i="1"/>
  <c r="A2286" i="1"/>
  <c r="B2286" i="1"/>
  <c r="E2286" i="1"/>
  <c r="H2286" i="1"/>
  <c r="I2286" i="1"/>
  <c r="A2287" i="1"/>
  <c r="B2287" i="1"/>
  <c r="E2287" i="1"/>
  <c r="H2287" i="1"/>
  <c r="I2287" i="1"/>
  <c r="A2240" i="1"/>
  <c r="B2240" i="1"/>
  <c r="E2240" i="1"/>
  <c r="H2240" i="1"/>
  <c r="I2240" i="1"/>
  <c r="A2241" i="1"/>
  <c r="B2241" i="1"/>
  <c r="E2241" i="1"/>
  <c r="H2241" i="1"/>
  <c r="I2241" i="1"/>
  <c r="A2252" i="1"/>
  <c r="B2252" i="1"/>
  <c r="E2252" i="1"/>
  <c r="H2252" i="1"/>
  <c r="I2252" i="1"/>
  <c r="A2253" i="1"/>
  <c r="B2253" i="1"/>
  <c r="E2253" i="1"/>
  <c r="H2253" i="1"/>
  <c r="I2253" i="1"/>
  <c r="A2272" i="1"/>
  <c r="B2272" i="1"/>
  <c r="E2272" i="1"/>
  <c r="H2272" i="1"/>
  <c r="I2272" i="1"/>
  <c r="A2273" i="1"/>
  <c r="B2273" i="1"/>
  <c r="E2273" i="1"/>
  <c r="H2273" i="1"/>
  <c r="I2273" i="1"/>
  <c r="A2290" i="1"/>
  <c r="B2290" i="1"/>
  <c r="E2290" i="1"/>
  <c r="H2290" i="1"/>
  <c r="I2290" i="1"/>
  <c r="A2291" i="1"/>
  <c r="B2291" i="1"/>
  <c r="E2291" i="1"/>
  <c r="H2291" i="1"/>
  <c r="I2291" i="1"/>
  <c r="A514" i="1"/>
  <c r="B514" i="1"/>
  <c r="E514" i="1"/>
  <c r="H514" i="1"/>
  <c r="I514" i="1"/>
  <c r="A102" i="1"/>
  <c r="B102" i="1"/>
  <c r="E102" i="1"/>
  <c r="H102" i="1"/>
  <c r="I102" i="1"/>
  <c r="A2621" i="1"/>
  <c r="B2621" i="1"/>
  <c r="E2621" i="1"/>
  <c r="H2621" i="1"/>
  <c r="I2621" i="1"/>
  <c r="A2686" i="1"/>
  <c r="B2686" i="1"/>
  <c r="E2686" i="1"/>
  <c r="H2686" i="1"/>
  <c r="I2686" i="1"/>
  <c r="A1688" i="1"/>
  <c r="B1688" i="1"/>
  <c r="E1688" i="1"/>
  <c r="H1688" i="1"/>
  <c r="I1688" i="1"/>
  <c r="A1685" i="1"/>
  <c r="B1685" i="1"/>
  <c r="E1685" i="1"/>
  <c r="H1685" i="1"/>
  <c r="I1685" i="1"/>
  <c r="A1690" i="1"/>
  <c r="B1690" i="1"/>
  <c r="E1690" i="1"/>
  <c r="H1690" i="1"/>
  <c r="I1690" i="1"/>
  <c r="A1698" i="1"/>
  <c r="B1698" i="1"/>
  <c r="E1698" i="1"/>
  <c r="H1698" i="1"/>
  <c r="I1698" i="1"/>
  <c r="A1684" i="1"/>
  <c r="B1684" i="1"/>
  <c r="E1684" i="1"/>
  <c r="H1684" i="1"/>
  <c r="I1684" i="1"/>
  <c r="A1696" i="1"/>
  <c r="B1696" i="1"/>
  <c r="E1696" i="1"/>
  <c r="H1696" i="1"/>
  <c r="I1696" i="1"/>
  <c r="A1682" i="1"/>
  <c r="B1682" i="1"/>
  <c r="E1682" i="1"/>
  <c r="H1682" i="1"/>
  <c r="I1682" i="1"/>
  <c r="A1691" i="1"/>
  <c r="B1691" i="1"/>
  <c r="E1691" i="1"/>
  <c r="H1691" i="1"/>
  <c r="I1691" i="1"/>
  <c r="A1700" i="1"/>
  <c r="B1700" i="1"/>
  <c r="E1700" i="1"/>
  <c r="H1700" i="1"/>
  <c r="I1700" i="1"/>
  <c r="A1693" i="1"/>
  <c r="B1693" i="1"/>
  <c r="E1693" i="1"/>
  <c r="H1693" i="1"/>
  <c r="I1693" i="1"/>
  <c r="A1702" i="1"/>
  <c r="B1702" i="1"/>
  <c r="E1702" i="1"/>
  <c r="H1702" i="1"/>
  <c r="I1702" i="1"/>
  <c r="A1703" i="1"/>
  <c r="B1703" i="1"/>
  <c r="E1703" i="1"/>
  <c r="H1703" i="1"/>
  <c r="I1703" i="1"/>
  <c r="A3318" i="1"/>
  <c r="B3318" i="1"/>
  <c r="E3318" i="1"/>
  <c r="H3318" i="1"/>
  <c r="I3318" i="1"/>
  <c r="A3310" i="1"/>
  <c r="B3310" i="1"/>
  <c r="E3310" i="1"/>
  <c r="H3310" i="1"/>
  <c r="I3310" i="1"/>
  <c r="A3321" i="1"/>
  <c r="B3321" i="1"/>
  <c r="E3321" i="1"/>
  <c r="H3321" i="1"/>
  <c r="I3321" i="1"/>
  <c r="A3303" i="1"/>
  <c r="B3303" i="1"/>
  <c r="E3303" i="1"/>
  <c r="H3303" i="1"/>
  <c r="I3303" i="1"/>
  <c r="A3300" i="1"/>
  <c r="B3300" i="1"/>
  <c r="E3300" i="1"/>
  <c r="H3300" i="1"/>
  <c r="I3300" i="1"/>
  <c r="A3316" i="1"/>
  <c r="B3316" i="1"/>
  <c r="E3316" i="1"/>
  <c r="H3316" i="1"/>
  <c r="I3316" i="1"/>
  <c r="A3299" i="1"/>
  <c r="B3299" i="1"/>
  <c r="E3299" i="1"/>
  <c r="H3299" i="1"/>
  <c r="I3299" i="1"/>
  <c r="A3304" i="1"/>
  <c r="B3304" i="1"/>
  <c r="E3304" i="1"/>
  <c r="H3304" i="1"/>
  <c r="I3304" i="1"/>
  <c r="A3322" i="1"/>
  <c r="B3322" i="1"/>
  <c r="E3322" i="1"/>
  <c r="H3322" i="1"/>
  <c r="I3322" i="1"/>
  <c r="A3305" i="1"/>
  <c r="B3305" i="1"/>
  <c r="E3305" i="1"/>
  <c r="H3305" i="1"/>
  <c r="I3305" i="1"/>
  <c r="A3297" i="1"/>
  <c r="B3297" i="1"/>
  <c r="E3297" i="1"/>
  <c r="H3297" i="1"/>
  <c r="I3297" i="1"/>
  <c r="A3306" i="1"/>
  <c r="B3306" i="1"/>
  <c r="E3306" i="1"/>
  <c r="H3306" i="1"/>
  <c r="I3306" i="1"/>
  <c r="A3292" i="1"/>
  <c r="B3292" i="1"/>
  <c r="E3292" i="1"/>
  <c r="H3292" i="1"/>
  <c r="I3292" i="1"/>
  <c r="A3293" i="1"/>
  <c r="B3293" i="1"/>
  <c r="E3293" i="1"/>
  <c r="H3293" i="1"/>
  <c r="I3293" i="1"/>
  <c r="A3311" i="1"/>
  <c r="B3311" i="1"/>
  <c r="E3311" i="1"/>
  <c r="H3311" i="1"/>
  <c r="I3311" i="1"/>
  <c r="A3320" i="1"/>
  <c r="B3320" i="1"/>
  <c r="E3320" i="1"/>
  <c r="H3320" i="1"/>
  <c r="I3320" i="1"/>
  <c r="A3317" i="1"/>
  <c r="B3317" i="1"/>
  <c r="E3317" i="1"/>
  <c r="H3317" i="1"/>
  <c r="I3317" i="1"/>
  <c r="A3313" i="1"/>
  <c r="B3313" i="1"/>
  <c r="E3313" i="1"/>
  <c r="H3313" i="1"/>
  <c r="I3313" i="1"/>
  <c r="A3295" i="1"/>
  <c r="B3295" i="1"/>
  <c r="E3295" i="1"/>
  <c r="H3295" i="1"/>
  <c r="I3295" i="1"/>
  <c r="A599" i="1"/>
  <c r="B599" i="1"/>
  <c r="E599" i="1"/>
  <c r="H599" i="1"/>
  <c r="I599" i="1"/>
  <c r="A2150" i="1"/>
  <c r="B2150" i="1"/>
  <c r="E2150" i="1"/>
  <c r="H2150" i="1"/>
  <c r="I2150" i="1"/>
  <c r="A2230" i="1"/>
  <c r="B2230" i="1"/>
  <c r="E2230" i="1"/>
  <c r="H2230" i="1"/>
  <c r="I2230" i="1"/>
  <c r="A906" i="1"/>
  <c r="B906" i="1"/>
  <c r="E906" i="1"/>
  <c r="H906" i="1"/>
  <c r="I906" i="1"/>
  <c r="A881" i="1"/>
  <c r="B881" i="1"/>
  <c r="E881" i="1"/>
  <c r="H881" i="1"/>
  <c r="I881" i="1"/>
  <c r="A882" i="1"/>
  <c r="B882" i="1"/>
  <c r="E882" i="1"/>
  <c r="H882" i="1"/>
  <c r="I882" i="1"/>
  <c r="A896" i="1"/>
  <c r="B896" i="1"/>
  <c r="E896" i="1"/>
  <c r="H896" i="1"/>
  <c r="I896" i="1"/>
  <c r="A897" i="1"/>
  <c r="B897" i="1"/>
  <c r="E897" i="1"/>
  <c r="H897" i="1"/>
  <c r="I897" i="1"/>
  <c r="A885" i="1"/>
  <c r="B885" i="1"/>
  <c r="E885" i="1"/>
  <c r="H885" i="1"/>
  <c r="I885" i="1"/>
  <c r="A886" i="1"/>
  <c r="B886" i="1"/>
  <c r="E886" i="1"/>
  <c r="H886" i="1"/>
  <c r="I886" i="1"/>
  <c r="A887" i="1"/>
  <c r="B887" i="1"/>
  <c r="E887" i="1"/>
  <c r="H887" i="1"/>
  <c r="I887" i="1"/>
  <c r="A888" i="1"/>
  <c r="B888" i="1"/>
  <c r="E888" i="1"/>
  <c r="H888" i="1"/>
  <c r="I888" i="1"/>
  <c r="A875" i="1"/>
  <c r="B875" i="1"/>
  <c r="E875" i="1"/>
  <c r="H875" i="1"/>
  <c r="I875" i="1"/>
  <c r="A876" i="1"/>
  <c r="B876" i="1"/>
  <c r="E876" i="1"/>
  <c r="H876" i="1"/>
  <c r="I876" i="1"/>
  <c r="A3215" i="1"/>
  <c r="B3215" i="1"/>
  <c r="E3215" i="1"/>
  <c r="H3215" i="1"/>
  <c r="I3215" i="1"/>
  <c r="A3216" i="1"/>
  <c r="B3216" i="1"/>
  <c r="E3216" i="1"/>
  <c r="H3216" i="1"/>
  <c r="I3216" i="1"/>
  <c r="A3202" i="1"/>
  <c r="B3202" i="1"/>
  <c r="E3202" i="1"/>
  <c r="H3202" i="1"/>
  <c r="I3202" i="1"/>
  <c r="A3203" i="1"/>
  <c r="B3203" i="1"/>
  <c r="E3203" i="1"/>
  <c r="H3203" i="1"/>
  <c r="I3203" i="1"/>
  <c r="A3204" i="1"/>
  <c r="B3204" i="1"/>
  <c r="E3204" i="1"/>
  <c r="H3204" i="1"/>
  <c r="I3204" i="1"/>
  <c r="A3205" i="1"/>
  <c r="B3205" i="1"/>
  <c r="E3205" i="1"/>
  <c r="H3205" i="1"/>
  <c r="I3205" i="1"/>
  <c r="A3206" i="1"/>
  <c r="B3206" i="1"/>
  <c r="E3206" i="1"/>
  <c r="H3206" i="1"/>
  <c r="I3206" i="1"/>
  <c r="A3207" i="1"/>
  <c r="B3207" i="1"/>
  <c r="E3207" i="1"/>
  <c r="H3207" i="1"/>
  <c r="I3207" i="1"/>
  <c r="A3208" i="1"/>
  <c r="B3208" i="1"/>
  <c r="E3208" i="1"/>
  <c r="H3208" i="1"/>
  <c r="I3208" i="1"/>
  <c r="A3209" i="1"/>
  <c r="B3209" i="1"/>
  <c r="E3209" i="1"/>
  <c r="H3209" i="1"/>
  <c r="I3209" i="1"/>
  <c r="A3233" i="1"/>
  <c r="B3233" i="1"/>
  <c r="E3233" i="1"/>
  <c r="H3233" i="1"/>
  <c r="I3233" i="1"/>
  <c r="A3234" i="1"/>
  <c r="B3234" i="1"/>
  <c r="E3234" i="1"/>
  <c r="H3234" i="1"/>
  <c r="I3234" i="1"/>
  <c r="A3210" i="1"/>
  <c r="B3210" i="1"/>
  <c r="E3210" i="1"/>
  <c r="H3210" i="1"/>
  <c r="I3210" i="1"/>
  <c r="A3211" i="1"/>
  <c r="B3211" i="1"/>
  <c r="E3211" i="1"/>
  <c r="H3211" i="1"/>
  <c r="I3211" i="1"/>
  <c r="A3243" i="1"/>
  <c r="B3243" i="1"/>
  <c r="E3243" i="1"/>
  <c r="H3243" i="1"/>
  <c r="I3243" i="1"/>
  <c r="A3244" i="1"/>
  <c r="B3244" i="1"/>
  <c r="E3244" i="1"/>
  <c r="H3244" i="1"/>
  <c r="I3244" i="1"/>
  <c r="A3229" i="1"/>
  <c r="B3229" i="1"/>
  <c r="E3229" i="1"/>
  <c r="H3229" i="1"/>
  <c r="I3229" i="1"/>
  <c r="A3230" i="1"/>
  <c r="B3230" i="1"/>
  <c r="E3230" i="1"/>
  <c r="H3230" i="1"/>
  <c r="I3230" i="1"/>
  <c r="A3241" i="1"/>
  <c r="B3241" i="1"/>
  <c r="E3241" i="1"/>
  <c r="H3241" i="1"/>
  <c r="I3241" i="1"/>
  <c r="A3242" i="1"/>
  <c r="B3242" i="1"/>
  <c r="E3242" i="1"/>
  <c r="H3242" i="1"/>
  <c r="I3242" i="1"/>
  <c r="A3225" i="1"/>
  <c r="B3225" i="1"/>
  <c r="E3225" i="1"/>
  <c r="H3225" i="1"/>
  <c r="I3225" i="1"/>
  <c r="A3226" i="1"/>
  <c r="B3226" i="1"/>
  <c r="E3226" i="1"/>
  <c r="H3226" i="1"/>
  <c r="I3226" i="1"/>
  <c r="A3237" i="1"/>
  <c r="B3237" i="1"/>
  <c r="E3237" i="1"/>
  <c r="H3237" i="1"/>
  <c r="I3237" i="1"/>
  <c r="A3238" i="1"/>
  <c r="B3238" i="1"/>
  <c r="E3238" i="1"/>
  <c r="H3238" i="1"/>
  <c r="I3238" i="1"/>
  <c r="A3239" i="1"/>
  <c r="B3239" i="1"/>
  <c r="E3239" i="1"/>
  <c r="H3239" i="1"/>
  <c r="I3239" i="1"/>
  <c r="A3240" i="1"/>
  <c r="B3240" i="1"/>
  <c r="E3240" i="1"/>
  <c r="H3240" i="1"/>
  <c r="I3240" i="1"/>
  <c r="A3221" i="1"/>
  <c r="B3221" i="1"/>
  <c r="E3221" i="1"/>
  <c r="H3221" i="1"/>
  <c r="I3221" i="1"/>
  <c r="A3222" i="1"/>
  <c r="B3222" i="1"/>
  <c r="E3222" i="1"/>
  <c r="H3222" i="1"/>
  <c r="I3222" i="1"/>
  <c r="A3223" i="1"/>
  <c r="B3223" i="1"/>
  <c r="E3223" i="1"/>
  <c r="H3223" i="1"/>
  <c r="I3223" i="1"/>
  <c r="A3224" i="1"/>
  <c r="B3224" i="1"/>
  <c r="E3224" i="1"/>
  <c r="H3224" i="1"/>
  <c r="I3224" i="1"/>
  <c r="A3227" i="1"/>
  <c r="B3227" i="1"/>
  <c r="E3227" i="1"/>
  <c r="H3227" i="1"/>
  <c r="I3227" i="1"/>
  <c r="A3228" i="1"/>
  <c r="B3228" i="1"/>
  <c r="E3228" i="1"/>
  <c r="H3228" i="1"/>
  <c r="I3228" i="1"/>
  <c r="A3231" i="1"/>
  <c r="B3231" i="1"/>
  <c r="E3231" i="1"/>
  <c r="H3231" i="1"/>
  <c r="I3231" i="1"/>
  <c r="A3232" i="1"/>
  <c r="B3232" i="1"/>
  <c r="E3232" i="1"/>
  <c r="H3232" i="1"/>
  <c r="I3232" i="1"/>
  <c r="A3198" i="1"/>
  <c r="B3198" i="1"/>
  <c r="E3198" i="1"/>
  <c r="H3198" i="1"/>
  <c r="I3198" i="1"/>
  <c r="A3199" i="1"/>
  <c r="B3199" i="1"/>
  <c r="E3199" i="1"/>
  <c r="H3199" i="1"/>
  <c r="I3199" i="1"/>
  <c r="A275" i="1"/>
  <c r="B275" i="1"/>
  <c r="E275" i="1"/>
  <c r="H275" i="1"/>
  <c r="I275" i="1"/>
  <c r="A1022" i="1"/>
  <c r="B1022" i="1"/>
  <c r="E1022" i="1"/>
  <c r="H1022" i="1"/>
  <c r="I1022" i="1"/>
  <c r="A797" i="1"/>
  <c r="B797" i="1"/>
  <c r="E797" i="1"/>
  <c r="H797" i="1"/>
  <c r="I797" i="1"/>
  <c r="A798" i="1"/>
  <c r="B798" i="1"/>
  <c r="E798" i="1"/>
  <c r="H798" i="1"/>
  <c r="I798" i="1"/>
  <c r="A823" i="1"/>
  <c r="B823" i="1"/>
  <c r="E823" i="1"/>
  <c r="H823" i="1"/>
  <c r="I823" i="1"/>
  <c r="A824" i="1"/>
  <c r="B824" i="1"/>
  <c r="E824" i="1"/>
  <c r="H824" i="1"/>
  <c r="I824" i="1"/>
  <c r="A805" i="1"/>
  <c r="B805" i="1"/>
  <c r="E805" i="1"/>
  <c r="H805" i="1"/>
  <c r="I805" i="1"/>
  <c r="A806" i="1"/>
  <c r="B806" i="1"/>
  <c r="E806" i="1"/>
  <c r="H806" i="1"/>
  <c r="I806" i="1"/>
  <c r="A817" i="1"/>
  <c r="B817" i="1"/>
  <c r="E817" i="1"/>
  <c r="H817" i="1"/>
  <c r="I817" i="1"/>
  <c r="A818" i="1"/>
  <c r="B818" i="1"/>
  <c r="E818" i="1"/>
  <c r="H818" i="1"/>
  <c r="I818" i="1"/>
  <c r="A825" i="1"/>
  <c r="B825" i="1"/>
  <c r="E825" i="1"/>
  <c r="H825" i="1"/>
  <c r="I825" i="1"/>
  <c r="A826" i="1"/>
  <c r="B826" i="1"/>
  <c r="E826" i="1"/>
  <c r="H826" i="1"/>
  <c r="I826" i="1"/>
  <c r="A815" i="1"/>
  <c r="B815" i="1"/>
  <c r="E815" i="1"/>
  <c r="H815" i="1"/>
  <c r="I815" i="1"/>
  <c r="A816" i="1"/>
  <c r="B816" i="1"/>
  <c r="E816" i="1"/>
  <c r="H816" i="1"/>
  <c r="I816" i="1"/>
  <c r="A807" i="1"/>
  <c r="B807" i="1"/>
  <c r="E807" i="1"/>
  <c r="H807" i="1"/>
  <c r="I807" i="1"/>
  <c r="A808" i="1"/>
  <c r="B808" i="1"/>
  <c r="E808" i="1"/>
  <c r="H808" i="1"/>
  <c r="I808" i="1"/>
  <c r="A813" i="1"/>
  <c r="B813" i="1"/>
  <c r="E813" i="1"/>
  <c r="H813" i="1"/>
  <c r="I813" i="1"/>
  <c r="A814" i="1"/>
  <c r="B814" i="1"/>
  <c r="E814" i="1"/>
  <c r="H814" i="1"/>
  <c r="I814" i="1"/>
  <c r="A1299" i="1"/>
  <c r="B1299" i="1"/>
  <c r="E1299" i="1"/>
  <c r="H1299" i="1"/>
  <c r="I1299" i="1"/>
  <c r="A1300" i="1"/>
  <c r="B1300" i="1"/>
  <c r="E1300" i="1"/>
  <c r="H1300" i="1"/>
  <c r="I1300" i="1"/>
  <c r="A1288" i="1"/>
  <c r="B1288" i="1"/>
  <c r="E1288" i="1"/>
  <c r="H1288" i="1"/>
  <c r="I1288" i="1"/>
  <c r="A1289" i="1"/>
  <c r="B1289" i="1"/>
  <c r="E1289" i="1"/>
  <c r="H1289" i="1"/>
  <c r="I1289" i="1"/>
  <c r="A1294" i="1"/>
  <c r="B1294" i="1"/>
  <c r="E1294" i="1"/>
  <c r="H1294" i="1"/>
  <c r="I1294" i="1"/>
  <c r="A1295" i="1"/>
  <c r="B1295" i="1"/>
  <c r="E1295" i="1"/>
  <c r="H1295" i="1"/>
  <c r="I1295" i="1"/>
  <c r="A1292" i="1"/>
  <c r="B1292" i="1"/>
  <c r="E1292" i="1"/>
  <c r="H1292" i="1"/>
  <c r="I1292" i="1"/>
  <c r="A1293" i="1"/>
  <c r="B1293" i="1"/>
  <c r="E1293" i="1"/>
  <c r="H1293" i="1"/>
  <c r="I1293" i="1"/>
  <c r="A1306" i="1"/>
  <c r="B1306" i="1"/>
  <c r="E1306" i="1"/>
  <c r="H1306" i="1"/>
  <c r="I1306" i="1"/>
  <c r="A1307" i="1"/>
  <c r="B1307" i="1"/>
  <c r="E1307" i="1"/>
  <c r="H1307" i="1"/>
  <c r="I1307" i="1"/>
  <c r="A1305" i="1"/>
  <c r="B1305" i="1"/>
  <c r="E1305" i="1"/>
  <c r="H1305" i="1"/>
  <c r="I1305" i="1"/>
  <c r="A1283" i="1"/>
  <c r="B1283" i="1"/>
  <c r="E1283" i="1"/>
  <c r="H1283" i="1"/>
  <c r="I1283" i="1"/>
  <c r="A1284" i="1"/>
  <c r="B1284" i="1"/>
  <c r="E1284" i="1"/>
  <c r="H1284" i="1"/>
  <c r="I1284" i="1"/>
  <c r="A1298" i="1"/>
  <c r="B1298" i="1"/>
  <c r="E1298" i="1"/>
  <c r="H1298" i="1"/>
  <c r="I1298" i="1"/>
  <c r="A1290" i="1"/>
  <c r="B1290" i="1"/>
  <c r="E1290" i="1"/>
  <c r="H1290" i="1"/>
  <c r="I1290" i="1"/>
  <c r="A1291" i="1"/>
  <c r="B1291" i="1"/>
  <c r="E1291" i="1"/>
  <c r="H1291" i="1"/>
  <c r="I1291" i="1"/>
  <c r="A1312" i="1"/>
  <c r="B1312" i="1"/>
  <c r="E1312" i="1"/>
  <c r="H1312" i="1"/>
  <c r="I1312" i="1"/>
  <c r="A1313" i="1"/>
  <c r="B1313" i="1"/>
  <c r="E1313" i="1"/>
  <c r="H1313" i="1"/>
  <c r="I1313" i="1"/>
  <c r="A1281" i="1"/>
  <c r="B1281" i="1"/>
  <c r="E1281" i="1"/>
  <c r="H1281" i="1"/>
  <c r="I1281" i="1"/>
  <c r="A1282" i="1"/>
  <c r="B1282" i="1"/>
  <c r="E1282" i="1"/>
  <c r="H1282" i="1"/>
  <c r="I1282" i="1"/>
  <c r="A1301" i="1"/>
  <c r="B1301" i="1"/>
  <c r="E1301" i="1"/>
  <c r="H1301" i="1"/>
  <c r="I1301" i="1"/>
  <c r="A1302" i="1"/>
  <c r="B1302" i="1"/>
  <c r="E1302" i="1"/>
  <c r="H1302" i="1"/>
  <c r="I1302" i="1"/>
  <c r="A1308" i="1"/>
  <c r="B1308" i="1"/>
  <c r="E1308" i="1"/>
  <c r="H1308" i="1"/>
  <c r="I1308" i="1"/>
  <c r="A1309" i="1"/>
  <c r="B1309" i="1"/>
  <c r="E1309" i="1"/>
  <c r="H1309" i="1"/>
  <c r="I1309" i="1"/>
  <c r="A1310" i="1"/>
  <c r="B1310" i="1"/>
  <c r="E1310" i="1"/>
  <c r="H1310" i="1"/>
  <c r="I1310" i="1"/>
  <c r="A1311" i="1"/>
  <c r="B1311" i="1"/>
  <c r="E1311" i="1"/>
  <c r="H1311" i="1"/>
  <c r="I1311" i="1"/>
  <c r="A1303" i="1"/>
  <c r="B1303" i="1"/>
  <c r="E1303" i="1"/>
  <c r="H1303" i="1"/>
  <c r="I1303" i="1"/>
  <c r="A1304" i="1"/>
  <c r="B1304" i="1"/>
  <c r="E1304" i="1"/>
  <c r="H1304" i="1"/>
  <c r="I1304" i="1"/>
  <c r="A1314" i="1"/>
  <c r="B1314" i="1"/>
  <c r="E1314" i="1"/>
  <c r="H1314" i="1"/>
  <c r="I1314" i="1"/>
  <c r="A1315" i="1"/>
  <c r="B1315" i="1"/>
  <c r="E1315" i="1"/>
  <c r="H1315" i="1"/>
  <c r="I1315" i="1"/>
  <c r="A1285" i="1"/>
  <c r="B1285" i="1"/>
  <c r="E1285" i="1"/>
  <c r="H1285" i="1"/>
  <c r="I1285" i="1"/>
  <c r="A1296" i="1"/>
  <c r="B1296" i="1"/>
  <c r="E1296" i="1"/>
  <c r="H1296" i="1"/>
  <c r="I1296" i="1"/>
  <c r="A1297" i="1"/>
  <c r="B1297" i="1"/>
  <c r="E1297" i="1"/>
  <c r="H1297" i="1"/>
  <c r="I1297" i="1"/>
  <c r="A1286" i="1"/>
  <c r="B1286" i="1"/>
  <c r="E1286" i="1"/>
  <c r="H1286" i="1"/>
  <c r="I1286" i="1"/>
  <c r="A1287" i="1"/>
  <c r="B1287" i="1"/>
  <c r="E1287" i="1"/>
  <c r="H1287" i="1"/>
  <c r="I1287" i="1"/>
  <c r="A1316" i="1"/>
  <c r="B1316" i="1"/>
  <c r="E1316" i="1"/>
  <c r="H1316" i="1"/>
  <c r="I1316" i="1"/>
  <c r="A1317" i="1"/>
  <c r="B1317" i="1"/>
  <c r="E1317" i="1"/>
  <c r="H1317" i="1"/>
  <c r="I1317" i="1"/>
  <c r="A3029" i="1"/>
  <c r="B3029" i="1"/>
  <c r="E3029" i="1"/>
  <c r="H3029" i="1"/>
  <c r="I3029" i="1"/>
  <c r="A3031" i="1"/>
  <c r="B3031" i="1"/>
  <c r="E3031" i="1"/>
  <c r="H3031" i="1"/>
  <c r="I3031" i="1"/>
  <c r="A3041" i="1"/>
  <c r="B3041" i="1"/>
  <c r="E3041" i="1"/>
  <c r="H3041" i="1"/>
  <c r="I3041" i="1"/>
  <c r="A3032" i="1"/>
  <c r="B3032" i="1"/>
  <c r="E3032" i="1"/>
  <c r="H3032" i="1"/>
  <c r="I3032" i="1"/>
  <c r="A3040" i="1"/>
  <c r="B3040" i="1"/>
  <c r="E3040" i="1"/>
  <c r="H3040" i="1"/>
  <c r="I3040" i="1"/>
  <c r="A3045" i="1"/>
  <c r="B3045" i="1"/>
  <c r="E3045" i="1"/>
  <c r="H3045" i="1"/>
  <c r="I3045" i="1"/>
  <c r="A3044" i="1"/>
  <c r="B3044" i="1"/>
  <c r="E3044" i="1"/>
  <c r="H3044" i="1"/>
  <c r="I3044" i="1"/>
  <c r="A3036" i="1"/>
  <c r="B3036" i="1"/>
  <c r="E3036" i="1"/>
  <c r="H3036" i="1"/>
  <c r="I3036" i="1"/>
  <c r="A3047" i="1"/>
  <c r="B3047" i="1"/>
  <c r="E3047" i="1"/>
  <c r="H3047" i="1"/>
  <c r="I3047" i="1"/>
  <c r="A3027" i="1"/>
  <c r="B3027" i="1"/>
  <c r="E3027" i="1"/>
  <c r="H3027" i="1"/>
  <c r="I3027" i="1"/>
  <c r="A3024" i="1"/>
  <c r="B3024" i="1"/>
  <c r="E3024" i="1"/>
  <c r="H3024" i="1"/>
  <c r="I3024" i="1"/>
  <c r="A3035" i="1"/>
  <c r="B3035" i="1"/>
  <c r="E3035" i="1"/>
  <c r="H3035" i="1"/>
  <c r="I3035" i="1"/>
  <c r="A3050" i="1"/>
  <c r="B3050" i="1"/>
  <c r="E3050" i="1"/>
  <c r="H3050" i="1"/>
  <c r="I3050" i="1"/>
  <c r="A3052" i="1"/>
  <c r="B3052" i="1"/>
  <c r="E3052" i="1"/>
  <c r="H3052" i="1"/>
  <c r="I3052" i="1"/>
  <c r="A3037" i="1"/>
  <c r="B3037" i="1"/>
  <c r="E3037" i="1"/>
  <c r="H3037" i="1"/>
  <c r="I3037" i="1"/>
  <c r="A3110" i="1"/>
  <c r="B3110" i="1"/>
  <c r="E3110" i="1"/>
  <c r="H3110" i="1"/>
  <c r="I3110" i="1"/>
  <c r="A3112" i="1"/>
  <c r="B3112" i="1"/>
  <c r="E3112" i="1"/>
  <c r="H3112" i="1"/>
  <c r="I3112" i="1"/>
  <c r="A3109" i="1"/>
  <c r="B3109" i="1"/>
  <c r="E3109" i="1"/>
  <c r="H3109" i="1"/>
  <c r="I3109" i="1"/>
  <c r="A3104" i="1"/>
  <c r="B3104" i="1"/>
  <c r="E3104" i="1"/>
  <c r="H3104" i="1"/>
  <c r="I3104" i="1"/>
  <c r="A3093" i="1"/>
  <c r="B3093" i="1"/>
  <c r="E3093" i="1"/>
  <c r="H3093" i="1"/>
  <c r="I3093" i="1"/>
  <c r="A1409" i="1"/>
  <c r="B1409" i="1"/>
  <c r="E1409" i="1"/>
  <c r="H1409" i="1"/>
  <c r="I1409" i="1"/>
  <c r="A1322" i="1"/>
  <c r="B1322" i="1"/>
  <c r="E1322" i="1"/>
  <c r="H1322" i="1"/>
  <c r="I1322" i="1"/>
  <c r="A1381" i="1"/>
  <c r="B1381" i="1"/>
  <c r="E1381" i="1"/>
  <c r="H1381" i="1"/>
  <c r="I1381" i="1"/>
  <c r="A1368" i="1"/>
  <c r="B1368" i="1"/>
  <c r="E1368" i="1"/>
  <c r="H1368" i="1"/>
  <c r="I1368" i="1"/>
  <c r="A2428" i="1"/>
  <c r="B2428" i="1"/>
  <c r="E2428" i="1"/>
  <c r="H2428" i="1"/>
  <c r="I2428" i="1"/>
  <c r="A2666" i="1"/>
  <c r="B2666" i="1"/>
  <c r="E2666" i="1"/>
  <c r="H2666" i="1"/>
  <c r="I2666" i="1"/>
  <c r="A2635" i="1"/>
  <c r="B2635" i="1"/>
  <c r="E2635" i="1"/>
  <c r="H2635" i="1"/>
  <c r="I2635" i="1"/>
  <c r="A2643" i="1"/>
  <c r="B2643" i="1"/>
  <c r="E2643" i="1"/>
  <c r="H2643" i="1"/>
  <c r="I2643" i="1"/>
  <c r="A2682" i="1"/>
  <c r="B2682" i="1"/>
  <c r="E2682" i="1"/>
  <c r="H2682" i="1"/>
  <c r="I2682" i="1"/>
  <c r="A2781" i="1"/>
  <c r="B2781" i="1"/>
  <c r="E2781" i="1"/>
  <c r="H2781" i="1"/>
  <c r="I2781" i="1"/>
  <c r="A425" i="1"/>
  <c r="B425" i="1"/>
  <c r="E425" i="1"/>
  <c r="H425" i="1"/>
  <c r="I425" i="1"/>
  <c r="A1890" i="1"/>
  <c r="B1890" i="1"/>
  <c r="E1890" i="1"/>
  <c r="H1890" i="1"/>
  <c r="I1890" i="1"/>
  <c r="A2223" i="1"/>
  <c r="B2223" i="1"/>
  <c r="E2223" i="1"/>
  <c r="H2223" i="1"/>
  <c r="I2223" i="1"/>
  <c r="A2213" i="1"/>
  <c r="B2213" i="1"/>
  <c r="E2213" i="1"/>
  <c r="H2213" i="1"/>
  <c r="I2213" i="1"/>
  <c r="A2214" i="1"/>
  <c r="B2214" i="1"/>
  <c r="E2214" i="1"/>
  <c r="H2214" i="1"/>
  <c r="I2214" i="1"/>
  <c r="A2168" i="1"/>
  <c r="B2168" i="1"/>
  <c r="E2168" i="1"/>
  <c r="H2168" i="1"/>
  <c r="I2168" i="1"/>
  <c r="A485" i="1"/>
  <c r="B485" i="1"/>
  <c r="E485" i="1"/>
  <c r="H485" i="1"/>
  <c r="I485" i="1"/>
  <c r="A55" i="1"/>
  <c r="B55" i="1"/>
  <c r="E55" i="1"/>
  <c r="H55" i="1"/>
  <c r="I55" i="1"/>
  <c r="A62" i="1"/>
  <c r="B62" i="1"/>
  <c r="E62" i="1"/>
  <c r="H62" i="1"/>
  <c r="I62" i="1"/>
  <c r="A57" i="1"/>
  <c r="B57" i="1"/>
  <c r="E57" i="1"/>
  <c r="H57" i="1"/>
  <c r="I57" i="1"/>
  <c r="A70" i="1"/>
  <c r="B70" i="1"/>
  <c r="E70" i="1"/>
  <c r="H70" i="1"/>
  <c r="I70" i="1"/>
  <c r="A58" i="1"/>
  <c r="B58" i="1"/>
  <c r="E58" i="1"/>
  <c r="H58" i="1"/>
  <c r="I58" i="1"/>
  <c r="A64" i="1"/>
  <c r="B64" i="1"/>
  <c r="E64" i="1"/>
  <c r="H64" i="1"/>
  <c r="I64" i="1"/>
  <c r="A73" i="1"/>
  <c r="B73" i="1"/>
  <c r="E73" i="1"/>
  <c r="H73" i="1"/>
  <c r="I73" i="1"/>
  <c r="A72" i="1"/>
  <c r="B72" i="1"/>
  <c r="E72" i="1"/>
  <c r="H72" i="1"/>
  <c r="I72" i="1"/>
  <c r="A78" i="1"/>
  <c r="B78" i="1"/>
  <c r="E78" i="1"/>
  <c r="H78" i="1"/>
  <c r="I78" i="1"/>
  <c r="A66" i="1"/>
  <c r="B66" i="1"/>
  <c r="E66" i="1"/>
  <c r="H66" i="1"/>
  <c r="I66" i="1"/>
  <c r="A87" i="1"/>
  <c r="B87" i="1"/>
  <c r="E87" i="1"/>
  <c r="H87" i="1"/>
  <c r="I87" i="1"/>
  <c r="A80" i="1"/>
  <c r="B80" i="1"/>
  <c r="E80" i="1"/>
  <c r="H80" i="1"/>
  <c r="I80" i="1"/>
  <c r="A85" i="1"/>
  <c r="B85" i="1"/>
  <c r="E85" i="1"/>
  <c r="H85" i="1"/>
  <c r="I85" i="1"/>
  <c r="A61" i="1"/>
  <c r="B61" i="1"/>
  <c r="E61" i="1"/>
  <c r="H61" i="1"/>
  <c r="I61" i="1"/>
  <c r="A90" i="1"/>
  <c r="B90" i="1"/>
  <c r="E90" i="1"/>
  <c r="H90" i="1"/>
  <c r="I90" i="1"/>
  <c r="A82" i="1"/>
  <c r="B82" i="1"/>
  <c r="E82" i="1"/>
  <c r="H82" i="1"/>
  <c r="I82" i="1"/>
  <c r="A76" i="1"/>
  <c r="B76" i="1"/>
  <c r="E76" i="1"/>
  <c r="H76" i="1"/>
  <c r="I76" i="1"/>
  <c r="A94" i="1"/>
  <c r="B94" i="1"/>
  <c r="E94" i="1"/>
  <c r="H94" i="1"/>
  <c r="I94" i="1"/>
  <c r="A67" i="1"/>
  <c r="B67" i="1"/>
  <c r="E67" i="1"/>
  <c r="H67" i="1"/>
  <c r="I67" i="1"/>
  <c r="A97" i="1"/>
  <c r="B97" i="1"/>
  <c r="E97" i="1"/>
  <c r="H97" i="1"/>
  <c r="I97" i="1"/>
  <c r="A83" i="1"/>
  <c r="B83" i="1"/>
  <c r="E83" i="1"/>
  <c r="H83" i="1"/>
  <c r="I83" i="1"/>
  <c r="A100" i="1"/>
  <c r="B100" i="1"/>
  <c r="E100" i="1"/>
  <c r="H100" i="1"/>
  <c r="I100" i="1"/>
  <c r="A98" i="1"/>
  <c r="B98" i="1"/>
  <c r="E98" i="1"/>
  <c r="H98" i="1"/>
  <c r="I98" i="1"/>
  <c r="A105" i="1"/>
  <c r="B105" i="1"/>
  <c r="E105" i="1"/>
  <c r="H105" i="1"/>
  <c r="I105" i="1"/>
  <c r="A104" i="1"/>
  <c r="B104" i="1"/>
  <c r="E104" i="1"/>
  <c r="H104" i="1"/>
  <c r="I104" i="1"/>
  <c r="A106" i="1"/>
  <c r="B106" i="1"/>
  <c r="E106" i="1"/>
  <c r="H106" i="1"/>
  <c r="I106" i="1"/>
  <c r="A120" i="1"/>
  <c r="B120" i="1"/>
  <c r="E120" i="1"/>
  <c r="H120" i="1"/>
  <c r="I120" i="1"/>
  <c r="A112" i="1"/>
  <c r="B112" i="1"/>
  <c r="E112" i="1"/>
  <c r="H112" i="1"/>
  <c r="I112" i="1"/>
  <c r="A2374" i="1"/>
  <c r="B2374" i="1"/>
  <c r="E2374" i="1"/>
  <c r="H2374" i="1"/>
  <c r="I2374" i="1"/>
  <c r="A2350" i="1"/>
  <c r="B2350" i="1"/>
  <c r="E2350" i="1"/>
  <c r="H2350" i="1"/>
  <c r="I2350" i="1"/>
  <c r="A2392" i="1"/>
  <c r="B2392" i="1"/>
  <c r="E2392" i="1"/>
  <c r="H2392" i="1"/>
  <c r="I2392" i="1"/>
  <c r="A2393" i="1"/>
  <c r="B2393" i="1"/>
  <c r="E2393" i="1"/>
  <c r="H2393" i="1"/>
  <c r="I2393" i="1"/>
  <c r="A2389" i="1"/>
  <c r="B2389" i="1"/>
  <c r="E2389" i="1"/>
  <c r="H2389" i="1"/>
  <c r="I2389" i="1"/>
  <c r="A2390" i="1"/>
  <c r="B2390" i="1"/>
  <c r="E2390" i="1"/>
  <c r="H2390" i="1"/>
  <c r="I2390" i="1"/>
  <c r="A2396" i="1"/>
  <c r="B2396" i="1"/>
  <c r="E2396" i="1"/>
  <c r="H2396" i="1"/>
  <c r="I2396" i="1"/>
  <c r="A2397" i="1"/>
  <c r="B2397" i="1"/>
  <c r="E2397" i="1"/>
  <c r="H2397" i="1"/>
  <c r="I2397" i="1"/>
  <c r="A2332" i="1"/>
  <c r="B2332" i="1"/>
  <c r="E2332" i="1"/>
  <c r="H2332" i="1"/>
  <c r="I2332" i="1"/>
  <c r="A2333" i="1"/>
  <c r="B2333" i="1"/>
  <c r="E2333" i="1"/>
  <c r="H2333" i="1"/>
  <c r="I2333" i="1"/>
  <c r="A2401" i="1"/>
  <c r="B2401" i="1"/>
  <c r="E2401" i="1"/>
  <c r="H2401" i="1"/>
  <c r="I2401" i="1"/>
  <c r="A2402" i="1"/>
  <c r="B2402" i="1"/>
  <c r="E2402" i="1"/>
  <c r="H2402" i="1"/>
  <c r="I2402" i="1"/>
  <c r="A2377" i="1"/>
  <c r="B2377" i="1"/>
  <c r="E2377" i="1"/>
  <c r="H2377" i="1"/>
  <c r="I2377" i="1"/>
  <c r="A2378" i="1"/>
  <c r="B2378" i="1"/>
  <c r="E2378" i="1"/>
  <c r="H2378" i="1"/>
  <c r="I2378" i="1"/>
  <c r="A2382" i="1"/>
  <c r="B2382" i="1"/>
  <c r="E2382" i="1"/>
  <c r="H2382" i="1"/>
  <c r="I2382" i="1"/>
  <c r="A2370" i="1"/>
  <c r="B2370" i="1"/>
  <c r="E2370" i="1"/>
  <c r="H2370" i="1"/>
  <c r="I2370" i="1"/>
  <c r="A2387" i="1"/>
  <c r="B2387" i="1"/>
  <c r="E2387" i="1"/>
  <c r="H2387" i="1"/>
  <c r="I2387" i="1"/>
  <c r="A2388" i="1"/>
  <c r="B2388" i="1"/>
  <c r="E2388" i="1"/>
  <c r="H2388" i="1"/>
  <c r="I2388" i="1"/>
  <c r="A2349" i="1"/>
  <c r="B2349" i="1"/>
  <c r="E2349" i="1"/>
  <c r="H2349" i="1"/>
  <c r="I2349" i="1"/>
  <c r="A2371" i="1"/>
  <c r="B2371" i="1"/>
  <c r="E2371" i="1"/>
  <c r="H2371" i="1"/>
  <c r="I2371" i="1"/>
  <c r="A2372" i="1"/>
  <c r="B2372" i="1"/>
  <c r="E2372" i="1"/>
  <c r="H2372" i="1"/>
  <c r="I2372" i="1"/>
  <c r="A2361" i="1"/>
  <c r="B2361" i="1"/>
  <c r="E2361" i="1"/>
  <c r="H2361" i="1"/>
  <c r="I2361" i="1"/>
  <c r="A2398" i="1"/>
  <c r="B2398" i="1"/>
  <c r="E2398" i="1"/>
  <c r="H2398" i="1"/>
  <c r="I2398" i="1"/>
  <c r="A2739" i="1"/>
  <c r="B2739" i="1"/>
  <c r="E2739" i="1"/>
  <c r="H2739" i="1"/>
  <c r="I2739" i="1"/>
  <c r="A2736" i="1"/>
  <c r="B2736" i="1"/>
  <c r="E2736" i="1"/>
  <c r="H2736" i="1"/>
  <c r="I2736" i="1"/>
  <c r="A122" i="1"/>
  <c r="B122" i="1"/>
  <c r="E122" i="1"/>
  <c r="H122" i="1"/>
  <c r="I122" i="1"/>
  <c r="A1751" i="1"/>
  <c r="B1751" i="1"/>
  <c r="E1751" i="1"/>
  <c r="H1751" i="1"/>
  <c r="I1751" i="1"/>
  <c r="A1743" i="1"/>
  <c r="B1743" i="1"/>
  <c r="E1743" i="1"/>
  <c r="H1743" i="1"/>
  <c r="I1743" i="1"/>
  <c r="A1745" i="1"/>
  <c r="B1745" i="1"/>
  <c r="E1745" i="1"/>
  <c r="H1745" i="1"/>
  <c r="I1745" i="1"/>
  <c r="A3513" i="1"/>
  <c r="B3513" i="1"/>
  <c r="E3513" i="1"/>
  <c r="H3513" i="1"/>
  <c r="I3513" i="1"/>
  <c r="A3523" i="1"/>
  <c r="B3523" i="1"/>
  <c r="E3523" i="1"/>
  <c r="H3523" i="1"/>
  <c r="I3523" i="1"/>
  <c r="A3548" i="1"/>
  <c r="B3548" i="1"/>
  <c r="E3548" i="1"/>
  <c r="H3548" i="1"/>
  <c r="I3548" i="1"/>
  <c r="A3550" i="1"/>
  <c r="B3550" i="1"/>
  <c r="E3550" i="1"/>
  <c r="H3550" i="1"/>
  <c r="I3550" i="1"/>
  <c r="A420" i="1"/>
  <c r="B420" i="1"/>
  <c r="E420" i="1"/>
  <c r="H420" i="1"/>
  <c r="I420" i="1"/>
  <c r="A1928" i="1"/>
  <c r="B1928" i="1"/>
  <c r="E1928" i="1"/>
  <c r="H1928" i="1"/>
  <c r="I1928" i="1"/>
  <c r="A1929" i="1"/>
  <c r="B1929" i="1"/>
  <c r="E1929" i="1"/>
  <c r="H1929" i="1"/>
  <c r="I1929" i="1"/>
  <c r="A341" i="1"/>
  <c r="B341" i="1"/>
  <c r="E341" i="1"/>
  <c r="H341" i="1"/>
  <c r="I341" i="1"/>
  <c r="A326" i="1"/>
  <c r="B326" i="1"/>
  <c r="E326" i="1"/>
  <c r="H326" i="1"/>
  <c r="I326" i="1"/>
  <c r="A327" i="1"/>
  <c r="B327" i="1"/>
  <c r="E327" i="1"/>
  <c r="H327" i="1"/>
  <c r="I327" i="1"/>
  <c r="A2503" i="1"/>
  <c r="B2503" i="1"/>
  <c r="E2503" i="1"/>
  <c r="H2503" i="1"/>
  <c r="I2503" i="1"/>
  <c r="A2501" i="1"/>
  <c r="B2501" i="1"/>
  <c r="E2501" i="1"/>
  <c r="H2501" i="1"/>
  <c r="I2501" i="1"/>
  <c r="A2507" i="1"/>
  <c r="B2507" i="1"/>
  <c r="E2507" i="1"/>
  <c r="H2507" i="1"/>
  <c r="I2507" i="1"/>
  <c r="A2505" i="1"/>
  <c r="B2505" i="1"/>
  <c r="E2505" i="1"/>
  <c r="H2505" i="1"/>
  <c r="I2505" i="1"/>
  <c r="A2509" i="1"/>
  <c r="B2509" i="1"/>
  <c r="E2509" i="1"/>
  <c r="H2509" i="1"/>
  <c r="I2509" i="1"/>
  <c r="A2514" i="1"/>
  <c r="B2514" i="1"/>
  <c r="E2514" i="1"/>
  <c r="H2514" i="1"/>
  <c r="I2514" i="1"/>
  <c r="A2512" i="1"/>
  <c r="B2512" i="1"/>
  <c r="E2512" i="1"/>
  <c r="H2512" i="1"/>
  <c r="I2512" i="1"/>
  <c r="A12" i="1"/>
  <c r="B12" i="1"/>
  <c r="E12" i="1"/>
  <c r="H12" i="1"/>
  <c r="I12" i="1"/>
  <c r="A13" i="1"/>
  <c r="B13" i="1"/>
  <c r="E13" i="1"/>
  <c r="H13" i="1"/>
  <c r="I13" i="1"/>
  <c r="A10" i="1"/>
  <c r="B10" i="1"/>
  <c r="E10" i="1"/>
  <c r="H10" i="1"/>
  <c r="I10" i="1"/>
  <c r="A11" i="1"/>
  <c r="B11" i="1"/>
  <c r="E11" i="1"/>
  <c r="H11" i="1"/>
  <c r="I11" i="1"/>
  <c r="A34" i="1"/>
  <c r="B34" i="1"/>
  <c r="E34" i="1"/>
  <c r="H34" i="1"/>
  <c r="I34" i="1"/>
  <c r="A35" i="1"/>
  <c r="B35" i="1"/>
  <c r="E35" i="1"/>
  <c r="H35" i="1"/>
  <c r="I35" i="1"/>
  <c r="A22" i="1"/>
  <c r="B22" i="1"/>
  <c r="E22" i="1"/>
  <c r="H22" i="1"/>
  <c r="I22" i="1"/>
  <c r="A23" i="1"/>
  <c r="B23" i="1"/>
  <c r="E23" i="1"/>
  <c r="H23" i="1"/>
  <c r="I23" i="1"/>
  <c r="A30" i="1"/>
  <c r="B30" i="1"/>
  <c r="E30" i="1"/>
  <c r="H30" i="1"/>
  <c r="I30" i="1"/>
  <c r="A31" i="1"/>
  <c r="B31" i="1"/>
  <c r="E31" i="1"/>
  <c r="H31" i="1"/>
  <c r="I31" i="1"/>
  <c r="A18" i="1"/>
  <c r="B18" i="1"/>
  <c r="E18" i="1"/>
  <c r="H18" i="1"/>
  <c r="I18" i="1"/>
  <c r="A19" i="1"/>
  <c r="B19" i="1"/>
  <c r="E19" i="1"/>
  <c r="H19" i="1"/>
  <c r="I19" i="1"/>
  <c r="A40" i="1"/>
  <c r="B40" i="1"/>
  <c r="E40" i="1"/>
  <c r="H40" i="1"/>
  <c r="I40" i="1"/>
  <c r="A41" i="1"/>
  <c r="B41" i="1"/>
  <c r="E41" i="1"/>
  <c r="H41" i="1"/>
  <c r="I41" i="1"/>
  <c r="A52" i="1"/>
  <c r="B52" i="1"/>
  <c r="E52" i="1"/>
  <c r="H52" i="1"/>
  <c r="I52" i="1"/>
  <c r="A53" i="1"/>
  <c r="B53" i="1"/>
  <c r="E53" i="1"/>
  <c r="H53" i="1"/>
  <c r="I53" i="1"/>
  <c r="A16" i="1"/>
  <c r="B16" i="1"/>
  <c r="E16" i="1"/>
  <c r="H16" i="1"/>
  <c r="I16" i="1"/>
  <c r="A17" i="1"/>
  <c r="B17" i="1"/>
  <c r="E17" i="1"/>
  <c r="H17" i="1"/>
  <c r="I17" i="1"/>
  <c r="A28" i="1"/>
  <c r="B28" i="1"/>
  <c r="E28" i="1"/>
  <c r="H28" i="1"/>
  <c r="I28" i="1"/>
  <c r="A29" i="1"/>
  <c r="B29" i="1"/>
  <c r="E29" i="1"/>
  <c r="H29" i="1"/>
  <c r="I29" i="1"/>
  <c r="A24" i="1"/>
  <c r="B24" i="1"/>
  <c r="E24" i="1"/>
  <c r="H24" i="1"/>
  <c r="I24" i="1"/>
  <c r="A25" i="1"/>
  <c r="B25" i="1"/>
  <c r="E25" i="1"/>
  <c r="H25" i="1"/>
  <c r="I25" i="1"/>
  <c r="A32" i="1"/>
  <c r="B32" i="1"/>
  <c r="E32" i="1"/>
  <c r="H32" i="1"/>
  <c r="I32" i="1"/>
  <c r="A33" i="1"/>
  <c r="B33" i="1"/>
  <c r="E33" i="1"/>
  <c r="H33" i="1"/>
  <c r="I33" i="1"/>
  <c r="A20" i="1"/>
  <c r="B20" i="1"/>
  <c r="E20" i="1"/>
  <c r="H20" i="1"/>
  <c r="I20" i="1"/>
  <c r="A21" i="1"/>
  <c r="B21" i="1"/>
  <c r="E21" i="1"/>
  <c r="H21" i="1"/>
  <c r="I21" i="1"/>
  <c r="A14" i="1"/>
  <c r="B14" i="1"/>
  <c r="E14" i="1"/>
  <c r="H14" i="1"/>
  <c r="I14" i="1"/>
  <c r="A15" i="1"/>
  <c r="B15" i="1"/>
  <c r="E15" i="1"/>
  <c r="H15" i="1"/>
  <c r="I15" i="1"/>
  <c r="A42" i="1"/>
  <c r="B42" i="1"/>
  <c r="E42" i="1"/>
  <c r="H42" i="1"/>
  <c r="I42" i="1"/>
  <c r="A43" i="1"/>
  <c r="B43" i="1"/>
  <c r="E43" i="1"/>
  <c r="H43" i="1"/>
  <c r="I43" i="1"/>
  <c r="A44" i="1"/>
  <c r="B44" i="1"/>
  <c r="E44" i="1"/>
  <c r="H44" i="1"/>
  <c r="I44" i="1"/>
  <c r="A45" i="1"/>
  <c r="B45" i="1"/>
  <c r="E45" i="1"/>
  <c r="H45" i="1"/>
  <c r="I45" i="1"/>
  <c r="A46" i="1"/>
  <c r="B46" i="1"/>
  <c r="E46" i="1"/>
  <c r="H46" i="1"/>
  <c r="I46" i="1"/>
  <c r="A47" i="1"/>
  <c r="B47" i="1"/>
  <c r="E47" i="1"/>
  <c r="H47" i="1"/>
  <c r="I47" i="1"/>
  <c r="A48" i="1"/>
  <c r="B48" i="1"/>
  <c r="E48" i="1"/>
  <c r="H48" i="1"/>
  <c r="I48" i="1"/>
  <c r="A49" i="1"/>
  <c r="B49" i="1"/>
  <c r="E49" i="1"/>
  <c r="H49" i="1"/>
  <c r="I49" i="1"/>
  <c r="A26" i="1"/>
  <c r="B26" i="1"/>
  <c r="E26" i="1"/>
  <c r="H26" i="1"/>
  <c r="I26" i="1"/>
  <c r="A27" i="1"/>
  <c r="B27" i="1"/>
  <c r="E27" i="1"/>
  <c r="H27" i="1"/>
  <c r="I27" i="1"/>
  <c r="A36" i="1"/>
  <c r="B36" i="1"/>
  <c r="E36" i="1"/>
  <c r="H36" i="1"/>
  <c r="I36" i="1"/>
  <c r="A37" i="1"/>
  <c r="B37" i="1"/>
  <c r="E37" i="1"/>
  <c r="H37" i="1"/>
  <c r="I37" i="1"/>
  <c r="A50" i="1"/>
  <c r="B50" i="1"/>
  <c r="E50" i="1"/>
  <c r="H50" i="1"/>
  <c r="I50" i="1"/>
  <c r="A51" i="1"/>
  <c r="B51" i="1"/>
  <c r="E51" i="1"/>
  <c r="H51" i="1"/>
  <c r="I51" i="1"/>
  <c r="A38" i="1"/>
  <c r="B38" i="1"/>
  <c r="E38" i="1"/>
  <c r="H38" i="1"/>
  <c r="I38" i="1"/>
  <c r="A39" i="1"/>
  <c r="B39" i="1"/>
  <c r="E39" i="1"/>
  <c r="H39" i="1"/>
  <c r="I39" i="1"/>
  <c r="A2760" i="1"/>
  <c r="B2760" i="1"/>
  <c r="E2760" i="1"/>
  <c r="H2760" i="1"/>
  <c r="I2760" i="1"/>
  <c r="A3025" i="1"/>
  <c r="B3025" i="1"/>
  <c r="E3025" i="1"/>
  <c r="H3025" i="1"/>
  <c r="I3025" i="1"/>
  <c r="A218" i="1"/>
  <c r="B218" i="1"/>
  <c r="E218" i="1"/>
  <c r="H218" i="1"/>
  <c r="I218" i="1"/>
  <c r="A1186" i="1"/>
  <c r="B1186" i="1"/>
  <c r="E1186" i="1"/>
  <c r="H1186" i="1"/>
  <c r="I1186" i="1"/>
  <c r="A1163" i="1"/>
  <c r="B1163" i="1"/>
  <c r="E1163" i="1"/>
  <c r="H1163" i="1"/>
  <c r="I1163" i="1"/>
  <c r="A68" i="1"/>
  <c r="B68" i="1"/>
  <c r="E68" i="1"/>
  <c r="H68" i="1"/>
  <c r="I68" i="1"/>
  <c r="A84" i="1"/>
  <c r="B84" i="1"/>
  <c r="E84" i="1"/>
  <c r="H84" i="1"/>
  <c r="I84" i="1"/>
  <c r="A713" i="1"/>
  <c r="B713" i="1"/>
  <c r="E713" i="1"/>
  <c r="H713" i="1"/>
  <c r="I713" i="1"/>
  <c r="A722" i="1"/>
  <c r="B722" i="1"/>
  <c r="E722" i="1"/>
  <c r="H722" i="1"/>
  <c r="I722" i="1"/>
  <c r="A703" i="1"/>
  <c r="B703" i="1"/>
  <c r="E703" i="1"/>
  <c r="H703" i="1"/>
  <c r="I703" i="1"/>
  <c r="A1018" i="1"/>
  <c r="B1018" i="1"/>
  <c r="E1018" i="1"/>
  <c r="H1018" i="1"/>
  <c r="I1018" i="1"/>
  <c r="A1064" i="1"/>
  <c r="B1064" i="1"/>
  <c r="E1064" i="1"/>
  <c r="H1064" i="1"/>
  <c r="I1064" i="1"/>
  <c r="A1009" i="1"/>
  <c r="B1009" i="1"/>
  <c r="E1009" i="1"/>
  <c r="H1009" i="1"/>
  <c r="I1009" i="1"/>
  <c r="A2142" i="1"/>
  <c r="B2142" i="1"/>
  <c r="E2142" i="1"/>
  <c r="H2142" i="1"/>
  <c r="I2142" i="1"/>
  <c r="A2188" i="1"/>
  <c r="B2188" i="1"/>
  <c r="E2188" i="1"/>
  <c r="H2188" i="1"/>
  <c r="I2188" i="1"/>
  <c r="A2215" i="1"/>
  <c r="B2215" i="1"/>
  <c r="E2215" i="1"/>
  <c r="H2215" i="1"/>
  <c r="I2215" i="1"/>
  <c r="A2156" i="1"/>
  <c r="B2156" i="1"/>
  <c r="E2156" i="1"/>
  <c r="H2156" i="1"/>
  <c r="I2156" i="1"/>
  <c r="A2191" i="1"/>
  <c r="B2191" i="1"/>
  <c r="E2191" i="1"/>
  <c r="H2191" i="1"/>
  <c r="I2191" i="1"/>
  <c r="A2305" i="1"/>
  <c r="B2305" i="1"/>
  <c r="E2305" i="1"/>
  <c r="H2305" i="1"/>
  <c r="I2305" i="1"/>
  <c r="A2319" i="1"/>
  <c r="B2319" i="1"/>
  <c r="E2319" i="1"/>
  <c r="H2319" i="1"/>
  <c r="I2319" i="1"/>
  <c r="A2476" i="1"/>
  <c r="B2476" i="1"/>
  <c r="E2476" i="1"/>
  <c r="H2476" i="1"/>
  <c r="I2476" i="1"/>
  <c r="A2497" i="1"/>
  <c r="B2497" i="1"/>
  <c r="E2497" i="1"/>
  <c r="H2497" i="1"/>
  <c r="I2497" i="1"/>
  <c r="A2464" i="1"/>
  <c r="B2464" i="1"/>
  <c r="E2464" i="1"/>
  <c r="H2464" i="1"/>
  <c r="I2464" i="1"/>
  <c r="A2471" i="1"/>
  <c r="B2471" i="1"/>
  <c r="E2471" i="1"/>
  <c r="H2471" i="1"/>
  <c r="I2471" i="1"/>
  <c r="A2740" i="1"/>
  <c r="B2740" i="1"/>
  <c r="E2740" i="1"/>
  <c r="H2740" i="1"/>
  <c r="I2740" i="1"/>
  <c r="A3038" i="1"/>
  <c r="B3038" i="1"/>
  <c r="E3038" i="1"/>
  <c r="H3038" i="1"/>
  <c r="I3038" i="1"/>
  <c r="A3111" i="1"/>
  <c r="B3111" i="1"/>
  <c r="E3111" i="1"/>
  <c r="H3111" i="1"/>
  <c r="I3111" i="1"/>
  <c r="A3456" i="1"/>
  <c r="B3456" i="1"/>
  <c r="E3456" i="1"/>
  <c r="H3456" i="1"/>
  <c r="I3456" i="1"/>
  <c r="A716" i="1"/>
  <c r="B716" i="1"/>
  <c r="E716" i="1"/>
  <c r="H716" i="1"/>
  <c r="I716" i="1"/>
  <c r="A3131" i="1"/>
  <c r="B3131" i="1"/>
  <c r="E3131" i="1"/>
  <c r="H3131" i="1"/>
  <c r="I3131" i="1"/>
  <c r="A1919" i="1"/>
  <c r="B1919" i="1"/>
  <c r="E1919" i="1"/>
  <c r="H1919" i="1"/>
  <c r="I1919" i="1"/>
  <c r="A1847" i="1"/>
  <c r="B1847" i="1"/>
  <c r="E1847" i="1"/>
  <c r="H1847" i="1"/>
  <c r="I1847" i="1"/>
  <c r="A1870" i="1"/>
  <c r="B1870" i="1"/>
  <c r="E1870" i="1"/>
  <c r="H1870" i="1"/>
  <c r="I1870" i="1"/>
  <c r="A525" i="1"/>
  <c r="B525" i="1"/>
  <c r="E525" i="1"/>
  <c r="H525" i="1"/>
  <c r="I525" i="1"/>
  <c r="A1945" i="1"/>
  <c r="B1945" i="1"/>
  <c r="E1945" i="1"/>
  <c r="H1945" i="1"/>
  <c r="I1945" i="1"/>
  <c r="A1948" i="1"/>
  <c r="B1948" i="1"/>
  <c r="E1948" i="1"/>
  <c r="H1948" i="1"/>
  <c r="I1948" i="1"/>
  <c r="A2307" i="1"/>
  <c r="B2307" i="1"/>
  <c r="E2307" i="1"/>
  <c r="H2307" i="1"/>
  <c r="I2307" i="1"/>
  <c r="A2748" i="1"/>
  <c r="B2748" i="1"/>
  <c r="E2748" i="1"/>
  <c r="H2748" i="1"/>
  <c r="I2748" i="1"/>
  <c r="A2544" i="1"/>
  <c r="B2544" i="1"/>
  <c r="E2544" i="1"/>
  <c r="H2544" i="1"/>
  <c r="I2544" i="1"/>
  <c r="A2563" i="1"/>
  <c r="B2563" i="1"/>
  <c r="E2563" i="1"/>
  <c r="H2563" i="1"/>
  <c r="I2563" i="1"/>
  <c r="A2564" i="1"/>
  <c r="B2564" i="1"/>
  <c r="E2564" i="1"/>
  <c r="H2564" i="1"/>
  <c r="I2564" i="1"/>
  <c r="A2565" i="1"/>
  <c r="B2565" i="1"/>
  <c r="E2565" i="1"/>
  <c r="H2565" i="1"/>
  <c r="I2565" i="1"/>
  <c r="A2566" i="1"/>
  <c r="B2566" i="1"/>
  <c r="E2566" i="1"/>
  <c r="H2566" i="1"/>
  <c r="I2566" i="1"/>
  <c r="A2567" i="1"/>
  <c r="B2567" i="1"/>
  <c r="E2567" i="1"/>
  <c r="H2567" i="1"/>
  <c r="I2567" i="1"/>
  <c r="A2568" i="1"/>
  <c r="B2568" i="1"/>
  <c r="E2568" i="1"/>
  <c r="H2568" i="1"/>
  <c r="I2568" i="1"/>
  <c r="A2547" i="1"/>
  <c r="B2547" i="1"/>
  <c r="E2547" i="1"/>
  <c r="H2547" i="1"/>
  <c r="I2547" i="1"/>
  <c r="A2548" i="1"/>
  <c r="B2548" i="1"/>
  <c r="E2548" i="1"/>
  <c r="H2548" i="1"/>
  <c r="I2548" i="1"/>
  <c r="A2557" i="1"/>
  <c r="B2557" i="1"/>
  <c r="E2557" i="1"/>
  <c r="H2557" i="1"/>
  <c r="I2557" i="1"/>
  <c r="A2551" i="1"/>
  <c r="B2551" i="1"/>
  <c r="E2551" i="1"/>
  <c r="H2551" i="1"/>
  <c r="I2551" i="1"/>
  <c r="A2552" i="1"/>
  <c r="B2552" i="1"/>
  <c r="E2552" i="1"/>
  <c r="H2552" i="1"/>
  <c r="I2552" i="1"/>
  <c r="A2545" i="1"/>
  <c r="B2545" i="1"/>
  <c r="E2545" i="1"/>
  <c r="H2545" i="1"/>
  <c r="I2545" i="1"/>
  <c r="A2546" i="1"/>
  <c r="B2546" i="1"/>
  <c r="E2546" i="1"/>
  <c r="H2546" i="1"/>
  <c r="I2546" i="1"/>
  <c r="A2591" i="1"/>
  <c r="B2591" i="1"/>
  <c r="E2591" i="1"/>
  <c r="H2591" i="1"/>
  <c r="I2591" i="1"/>
  <c r="A2592" i="1"/>
  <c r="B2592" i="1"/>
  <c r="E2592" i="1"/>
  <c r="H2592" i="1"/>
  <c r="I2592" i="1"/>
  <c r="A2575" i="1"/>
  <c r="B2575" i="1"/>
  <c r="E2575" i="1"/>
  <c r="H2575" i="1"/>
  <c r="I2575" i="1"/>
  <c r="A2576" i="1"/>
  <c r="B2576" i="1"/>
  <c r="E2576" i="1"/>
  <c r="H2576" i="1"/>
  <c r="I2576" i="1"/>
  <c r="A2555" i="1"/>
  <c r="B2555" i="1"/>
  <c r="E2555" i="1"/>
  <c r="H2555" i="1"/>
  <c r="I2555" i="1"/>
  <c r="A2556" i="1"/>
  <c r="B2556" i="1"/>
  <c r="E2556" i="1"/>
  <c r="H2556" i="1"/>
  <c r="I2556" i="1"/>
  <c r="A2578" i="1"/>
  <c r="B2578" i="1"/>
  <c r="E2578" i="1"/>
  <c r="H2578" i="1"/>
  <c r="I2578" i="1"/>
  <c r="A2579" i="1"/>
  <c r="B2579" i="1"/>
  <c r="E2579" i="1"/>
  <c r="H2579" i="1"/>
  <c r="I2579" i="1"/>
  <c r="A2569" i="1"/>
  <c r="B2569" i="1"/>
  <c r="E2569" i="1"/>
  <c r="H2569" i="1"/>
  <c r="I2569" i="1"/>
  <c r="A2570" i="1"/>
  <c r="B2570" i="1"/>
  <c r="E2570" i="1"/>
  <c r="H2570" i="1"/>
  <c r="I2570" i="1"/>
  <c r="A2542" i="1"/>
  <c r="B2542" i="1"/>
  <c r="E2542" i="1"/>
  <c r="H2542" i="1"/>
  <c r="I2542" i="1"/>
  <c r="A2543" i="1"/>
  <c r="B2543" i="1"/>
  <c r="E2543" i="1"/>
  <c r="H2543" i="1"/>
  <c r="I2543" i="1"/>
  <c r="A2593" i="1"/>
  <c r="B2593" i="1"/>
  <c r="E2593" i="1"/>
  <c r="H2593" i="1"/>
  <c r="I2593" i="1"/>
  <c r="A2594" i="1"/>
  <c r="B2594" i="1"/>
  <c r="E2594" i="1"/>
  <c r="H2594" i="1"/>
  <c r="I2594" i="1"/>
  <c r="A2571" i="1"/>
  <c r="B2571" i="1"/>
  <c r="E2571" i="1"/>
  <c r="H2571" i="1"/>
  <c r="I2571" i="1"/>
  <c r="A2572" i="1"/>
  <c r="B2572" i="1"/>
  <c r="E2572" i="1"/>
  <c r="H2572" i="1"/>
  <c r="I2572" i="1"/>
  <c r="A2580" i="1"/>
  <c r="B2580" i="1"/>
  <c r="E2580" i="1"/>
  <c r="H2580" i="1"/>
  <c r="I2580" i="1"/>
  <c r="A2581" i="1"/>
  <c r="B2581" i="1"/>
  <c r="E2581" i="1"/>
  <c r="H2581" i="1"/>
  <c r="I2581" i="1"/>
  <c r="A2561" i="1"/>
  <c r="B2561" i="1"/>
  <c r="E2561" i="1"/>
  <c r="H2561" i="1"/>
  <c r="I2561" i="1"/>
  <c r="A2562" i="1"/>
  <c r="B2562" i="1"/>
  <c r="E2562" i="1"/>
  <c r="H2562" i="1"/>
  <c r="I2562" i="1"/>
  <c r="A2577" i="1"/>
  <c r="B2577" i="1"/>
  <c r="E2577" i="1"/>
  <c r="H2577" i="1"/>
  <c r="I2577" i="1"/>
  <c r="A2549" i="1"/>
  <c r="B2549" i="1"/>
  <c r="E2549" i="1"/>
  <c r="H2549" i="1"/>
  <c r="I2549" i="1"/>
  <c r="A2550" i="1"/>
  <c r="B2550" i="1"/>
  <c r="E2550" i="1"/>
  <c r="H2550" i="1"/>
  <c r="I2550" i="1"/>
  <c r="A2558" i="1"/>
  <c r="B2558" i="1"/>
  <c r="E2558" i="1"/>
  <c r="H2558" i="1"/>
  <c r="I2558" i="1"/>
  <c r="A2559" i="1"/>
  <c r="B2559" i="1"/>
  <c r="E2559" i="1"/>
  <c r="H2559" i="1"/>
  <c r="I2559" i="1"/>
  <c r="A2553" i="1"/>
  <c r="B2553" i="1"/>
  <c r="E2553" i="1"/>
  <c r="H2553" i="1"/>
  <c r="I2553" i="1"/>
  <c r="A2554" i="1"/>
  <c r="B2554" i="1"/>
  <c r="E2554" i="1"/>
  <c r="H2554" i="1"/>
  <c r="I2554" i="1"/>
  <c r="A2560" i="1"/>
  <c r="B2560" i="1"/>
  <c r="E2560" i="1"/>
  <c r="H2560" i="1"/>
  <c r="I2560" i="1"/>
  <c r="A2582" i="1"/>
  <c r="B2582" i="1"/>
  <c r="E2582" i="1"/>
  <c r="H2582" i="1"/>
  <c r="I2582" i="1"/>
  <c r="A2584" i="1"/>
  <c r="B2584" i="1"/>
  <c r="E2584" i="1"/>
  <c r="H2584" i="1"/>
  <c r="I2584" i="1"/>
  <c r="A2585" i="1"/>
  <c r="B2585" i="1"/>
  <c r="E2585" i="1"/>
  <c r="H2585" i="1"/>
  <c r="I2585" i="1"/>
  <c r="A2573" i="1"/>
  <c r="B2573" i="1"/>
  <c r="E2573" i="1"/>
  <c r="H2573" i="1"/>
  <c r="I2573" i="1"/>
  <c r="A2574" i="1"/>
  <c r="B2574" i="1"/>
  <c r="E2574" i="1"/>
  <c r="H2574" i="1"/>
  <c r="I2574" i="1"/>
  <c r="A2583" i="1"/>
  <c r="B2583" i="1"/>
  <c r="E2583" i="1"/>
  <c r="H2583" i="1"/>
  <c r="I2583" i="1"/>
  <c r="A2587" i="1"/>
  <c r="B2587" i="1"/>
  <c r="E2587" i="1"/>
  <c r="H2587" i="1"/>
  <c r="I2587" i="1"/>
  <c r="A2588" i="1"/>
  <c r="B2588" i="1"/>
  <c r="E2588" i="1"/>
  <c r="H2588" i="1"/>
  <c r="I2588" i="1"/>
  <c r="A2586" i="1"/>
  <c r="B2586" i="1"/>
  <c r="E2586" i="1"/>
  <c r="H2586" i="1"/>
  <c r="I2586" i="1"/>
  <c r="A2589" i="1"/>
  <c r="B2589" i="1"/>
  <c r="E2589" i="1"/>
  <c r="H2589" i="1"/>
  <c r="I2589" i="1"/>
  <c r="A2590" i="1"/>
  <c r="B2590" i="1"/>
  <c r="E2590" i="1"/>
  <c r="H2590" i="1"/>
  <c r="I2590" i="1"/>
  <c r="A1104" i="1"/>
  <c r="B1104" i="1"/>
  <c r="E1104" i="1"/>
  <c r="H1104" i="1"/>
  <c r="I1104" i="1"/>
  <c r="A1120" i="1"/>
  <c r="B1120" i="1"/>
  <c r="E1120" i="1"/>
  <c r="H1120" i="1"/>
  <c r="I1120" i="1"/>
  <c r="A2116" i="1"/>
  <c r="B2116" i="1"/>
  <c r="E2116" i="1"/>
  <c r="H2116" i="1"/>
  <c r="I2116" i="1"/>
  <c r="A2315" i="1"/>
  <c r="B2315" i="1"/>
  <c r="E2315" i="1"/>
  <c r="H2315" i="1"/>
  <c r="I2315" i="1"/>
  <c r="A2468" i="1"/>
  <c r="B2468" i="1"/>
  <c r="E2468" i="1"/>
  <c r="H2468" i="1"/>
  <c r="I2468" i="1"/>
  <c r="A2489" i="1"/>
  <c r="B2489" i="1"/>
  <c r="E2489" i="1"/>
  <c r="H2489" i="1"/>
  <c r="I2489" i="1"/>
  <c r="A2756" i="1"/>
  <c r="B2756" i="1"/>
  <c r="E2756" i="1"/>
  <c r="H2756" i="1"/>
  <c r="I2756" i="1"/>
  <c r="A3033" i="1"/>
  <c r="B3033" i="1"/>
  <c r="E3033" i="1"/>
  <c r="H3033" i="1"/>
  <c r="I3033" i="1"/>
  <c r="A3048" i="1"/>
  <c r="B3048" i="1"/>
  <c r="E3048" i="1"/>
  <c r="H3048" i="1"/>
  <c r="I3048" i="1"/>
  <c r="A3103" i="1"/>
  <c r="B3103" i="1"/>
  <c r="E3103" i="1"/>
  <c r="H3103" i="1"/>
  <c r="I3103" i="1"/>
  <c r="A3307" i="1"/>
  <c r="B3307" i="1"/>
  <c r="E3307" i="1"/>
  <c r="H3307" i="1"/>
  <c r="I3307" i="1"/>
  <c r="A3314" i="1"/>
  <c r="B3314" i="1"/>
  <c r="E3314" i="1"/>
  <c r="H3314" i="1"/>
  <c r="I3314" i="1"/>
  <c r="A1836" i="1"/>
  <c r="B1836" i="1"/>
  <c r="E1836" i="1"/>
  <c r="H1836" i="1"/>
  <c r="I1836" i="1"/>
  <c r="A1787" i="1"/>
  <c r="B1787" i="1"/>
  <c r="E1787" i="1"/>
  <c r="H1787" i="1"/>
  <c r="I1787" i="1"/>
  <c r="A1834" i="1"/>
  <c r="B1834" i="1"/>
  <c r="E1834" i="1"/>
  <c r="H1834" i="1"/>
  <c r="I1834" i="1"/>
  <c r="A1804" i="1"/>
  <c r="B1804" i="1"/>
  <c r="E1804" i="1"/>
  <c r="H1804" i="1"/>
  <c r="I1804" i="1"/>
  <c r="A2728" i="1"/>
  <c r="B2728" i="1"/>
  <c r="E2728" i="1"/>
  <c r="H2728" i="1"/>
  <c r="I2728" i="1"/>
  <c r="A65" i="1"/>
  <c r="B65" i="1"/>
  <c r="E65" i="1"/>
  <c r="H65" i="1"/>
  <c r="I65" i="1"/>
  <c r="A74" i="1"/>
  <c r="B74" i="1"/>
  <c r="E74" i="1"/>
  <c r="H74" i="1"/>
  <c r="I74" i="1"/>
  <c r="A88" i="1"/>
  <c r="B88" i="1"/>
  <c r="E88" i="1"/>
  <c r="H88" i="1"/>
  <c r="I88" i="1"/>
  <c r="A91" i="1"/>
  <c r="B91" i="1"/>
  <c r="E91" i="1"/>
  <c r="H91" i="1"/>
  <c r="I91" i="1"/>
  <c r="A3432" i="1"/>
  <c r="B3432" i="1"/>
  <c r="E3432" i="1"/>
  <c r="H3432" i="1"/>
  <c r="I3432" i="1"/>
  <c r="A3430" i="1"/>
  <c r="B3430" i="1"/>
  <c r="E3430" i="1"/>
  <c r="H3430" i="1"/>
  <c r="I3430" i="1"/>
  <c r="A3449" i="1"/>
  <c r="B3449" i="1"/>
  <c r="E3449" i="1"/>
  <c r="H3449" i="1"/>
  <c r="I3449" i="1"/>
  <c r="A3445" i="1"/>
  <c r="B3445" i="1"/>
  <c r="E3445" i="1"/>
  <c r="H3445" i="1"/>
  <c r="I3445" i="1"/>
  <c r="A634" i="1"/>
  <c r="B634" i="1"/>
  <c r="E634" i="1"/>
  <c r="H634" i="1"/>
  <c r="I634" i="1"/>
  <c r="A593" i="1"/>
  <c r="B593" i="1"/>
  <c r="E593" i="1"/>
  <c r="H593" i="1"/>
  <c r="I593" i="1"/>
  <c r="A3591" i="1"/>
  <c r="B3591" i="1"/>
  <c r="E3591" i="1"/>
  <c r="H3591" i="1"/>
  <c r="I3591" i="1"/>
  <c r="A2490" i="1"/>
  <c r="B2490" i="1"/>
  <c r="E2490" i="1"/>
  <c r="H2490" i="1"/>
  <c r="I2490" i="1"/>
  <c r="A303" i="1"/>
  <c r="B303" i="1"/>
  <c r="E303" i="1"/>
  <c r="H303" i="1"/>
  <c r="I303" i="1"/>
  <c r="A2847" i="1"/>
  <c r="B2847" i="1"/>
  <c r="E2847" i="1"/>
  <c r="H2847" i="1"/>
  <c r="I2847" i="1"/>
  <c r="A2848" i="1"/>
  <c r="B2848" i="1"/>
  <c r="E2848" i="1"/>
  <c r="H2848" i="1"/>
  <c r="I2848" i="1"/>
  <c r="A2931" i="1"/>
  <c r="B2931" i="1"/>
  <c r="E2931" i="1"/>
  <c r="H2931" i="1"/>
  <c r="I2931" i="1"/>
  <c r="A2932" i="1"/>
  <c r="B2932" i="1"/>
  <c r="E2932" i="1"/>
  <c r="H2932" i="1"/>
  <c r="I2932" i="1"/>
  <c r="A2872" i="1"/>
  <c r="B2872" i="1"/>
  <c r="E2872" i="1"/>
  <c r="H2872" i="1"/>
  <c r="I2872" i="1"/>
  <c r="A2873" i="1"/>
  <c r="B2873" i="1"/>
  <c r="E2873" i="1"/>
  <c r="H2873" i="1"/>
  <c r="I2873" i="1"/>
  <c r="A2883" i="1"/>
  <c r="B2883" i="1"/>
  <c r="E2883" i="1"/>
  <c r="H2883" i="1"/>
  <c r="I2883" i="1"/>
  <c r="A2884" i="1"/>
  <c r="B2884" i="1"/>
  <c r="E2884" i="1"/>
  <c r="H2884" i="1"/>
  <c r="I2884" i="1"/>
  <c r="A2874" i="1"/>
  <c r="B2874" i="1"/>
  <c r="E2874" i="1"/>
  <c r="H2874" i="1"/>
  <c r="I2874" i="1"/>
  <c r="A2875" i="1"/>
  <c r="B2875" i="1"/>
  <c r="E2875" i="1"/>
  <c r="H2875" i="1"/>
  <c r="I2875" i="1"/>
  <c r="A2864" i="1"/>
  <c r="B2864" i="1"/>
  <c r="E2864" i="1"/>
  <c r="H2864" i="1"/>
  <c r="I2864" i="1"/>
  <c r="A2865" i="1"/>
  <c r="B2865" i="1"/>
  <c r="E2865" i="1"/>
  <c r="H2865" i="1"/>
  <c r="I2865" i="1"/>
  <c r="A2849" i="1"/>
  <c r="B2849" i="1"/>
  <c r="E2849" i="1"/>
  <c r="H2849" i="1"/>
  <c r="I2849" i="1"/>
  <c r="A2850" i="1"/>
  <c r="B2850" i="1"/>
  <c r="E2850" i="1"/>
  <c r="H2850" i="1"/>
  <c r="I2850" i="1"/>
  <c r="A2891" i="1"/>
  <c r="B2891" i="1"/>
  <c r="E2891" i="1"/>
  <c r="H2891" i="1"/>
  <c r="I2891" i="1"/>
  <c r="A2892" i="1"/>
  <c r="B2892" i="1"/>
  <c r="E2892" i="1"/>
  <c r="H2892" i="1"/>
  <c r="I2892" i="1"/>
  <c r="A2905" i="1"/>
  <c r="B2905" i="1"/>
  <c r="E2905" i="1"/>
  <c r="H2905" i="1"/>
  <c r="I2905" i="1"/>
  <c r="A2906" i="1"/>
  <c r="B2906" i="1"/>
  <c r="E2906" i="1"/>
  <c r="H2906" i="1"/>
  <c r="I2906" i="1"/>
  <c r="A2881" i="1"/>
  <c r="B2881" i="1"/>
  <c r="E2881" i="1"/>
  <c r="H2881" i="1"/>
  <c r="I2881" i="1"/>
  <c r="A2882" i="1"/>
  <c r="B2882" i="1"/>
  <c r="E2882" i="1"/>
  <c r="H2882" i="1"/>
  <c r="I2882" i="1"/>
  <c r="A2909" i="1"/>
  <c r="B2909" i="1"/>
  <c r="E2909" i="1"/>
  <c r="H2909" i="1"/>
  <c r="I2909" i="1"/>
  <c r="A2910" i="1"/>
  <c r="B2910" i="1"/>
  <c r="E2910" i="1"/>
  <c r="H2910" i="1"/>
  <c r="I2910" i="1"/>
  <c r="A2879" i="1"/>
  <c r="B2879" i="1"/>
  <c r="E2879" i="1"/>
  <c r="H2879" i="1"/>
  <c r="I2879" i="1"/>
  <c r="A2880" i="1"/>
  <c r="B2880" i="1"/>
  <c r="E2880" i="1"/>
  <c r="H2880" i="1"/>
  <c r="I2880" i="1"/>
  <c r="A2878" i="1"/>
  <c r="B2878" i="1"/>
  <c r="E2878" i="1"/>
  <c r="H2878" i="1"/>
  <c r="I2878" i="1"/>
  <c r="A2868" i="1"/>
  <c r="B2868" i="1"/>
  <c r="E2868" i="1"/>
  <c r="H2868" i="1"/>
  <c r="I2868" i="1"/>
  <c r="A2869" i="1"/>
  <c r="B2869" i="1"/>
  <c r="E2869" i="1"/>
  <c r="H2869" i="1"/>
  <c r="I2869" i="1"/>
  <c r="A2885" i="1"/>
  <c r="B2885" i="1"/>
  <c r="E2885" i="1"/>
  <c r="H2885" i="1"/>
  <c r="I2885" i="1"/>
  <c r="A2886" i="1"/>
  <c r="B2886" i="1"/>
  <c r="E2886" i="1"/>
  <c r="H2886" i="1"/>
  <c r="I2886" i="1"/>
  <c r="A2923" i="1"/>
  <c r="B2923" i="1"/>
  <c r="E2923" i="1"/>
  <c r="H2923" i="1"/>
  <c r="I2923" i="1"/>
  <c r="A2924" i="1"/>
  <c r="B2924" i="1"/>
  <c r="E2924" i="1"/>
  <c r="H2924" i="1"/>
  <c r="I2924" i="1"/>
  <c r="A2866" i="1"/>
  <c r="B2866" i="1"/>
  <c r="E2866" i="1"/>
  <c r="H2866" i="1"/>
  <c r="I2866" i="1"/>
  <c r="A2867" i="1"/>
  <c r="B2867" i="1"/>
  <c r="E2867" i="1"/>
  <c r="H2867" i="1"/>
  <c r="I2867" i="1"/>
  <c r="A2858" i="1"/>
  <c r="B2858" i="1"/>
  <c r="E2858" i="1"/>
  <c r="H2858" i="1"/>
  <c r="I2858" i="1"/>
  <c r="A2859" i="1"/>
  <c r="B2859" i="1"/>
  <c r="E2859" i="1"/>
  <c r="H2859" i="1"/>
  <c r="I2859" i="1"/>
  <c r="A2876" i="1"/>
  <c r="B2876" i="1"/>
  <c r="E2876" i="1"/>
  <c r="H2876" i="1"/>
  <c r="I2876" i="1"/>
  <c r="A2877" i="1"/>
  <c r="B2877" i="1"/>
  <c r="E2877" i="1"/>
  <c r="H2877" i="1"/>
  <c r="I2877" i="1"/>
  <c r="A2853" i="1"/>
  <c r="B2853" i="1"/>
  <c r="E2853" i="1"/>
  <c r="H2853" i="1"/>
  <c r="I2853" i="1"/>
  <c r="A2887" i="1"/>
  <c r="B2887" i="1"/>
  <c r="E2887" i="1"/>
  <c r="H2887" i="1"/>
  <c r="I2887" i="1"/>
  <c r="A2888" i="1"/>
  <c r="B2888" i="1"/>
  <c r="E2888" i="1"/>
  <c r="H2888" i="1"/>
  <c r="I2888" i="1"/>
  <c r="A2903" i="1"/>
  <c r="B2903" i="1"/>
  <c r="E2903" i="1"/>
  <c r="H2903" i="1"/>
  <c r="I2903" i="1"/>
  <c r="A2904" i="1"/>
  <c r="B2904" i="1"/>
  <c r="E2904" i="1"/>
  <c r="H2904" i="1"/>
  <c r="I2904" i="1"/>
  <c r="A2854" i="1"/>
  <c r="B2854" i="1"/>
  <c r="E2854" i="1"/>
  <c r="H2854" i="1"/>
  <c r="I2854" i="1"/>
  <c r="A2855" i="1"/>
  <c r="B2855" i="1"/>
  <c r="E2855" i="1"/>
  <c r="H2855" i="1"/>
  <c r="I2855" i="1"/>
  <c r="A2856" i="1"/>
  <c r="B2856" i="1"/>
  <c r="E2856" i="1"/>
  <c r="H2856" i="1"/>
  <c r="I2856" i="1"/>
  <c r="A2857" i="1"/>
  <c r="B2857" i="1"/>
  <c r="E2857" i="1"/>
  <c r="H2857" i="1"/>
  <c r="I2857" i="1"/>
  <c r="A2862" i="1"/>
  <c r="B2862" i="1"/>
  <c r="E2862" i="1"/>
  <c r="H2862" i="1"/>
  <c r="I2862" i="1"/>
  <c r="A2863" i="1"/>
  <c r="B2863" i="1"/>
  <c r="E2863" i="1"/>
  <c r="H2863" i="1"/>
  <c r="I2863" i="1"/>
  <c r="A2895" i="1"/>
  <c r="B2895" i="1"/>
  <c r="E2895" i="1"/>
  <c r="H2895" i="1"/>
  <c r="I2895" i="1"/>
  <c r="A2896" i="1"/>
  <c r="B2896" i="1"/>
  <c r="E2896" i="1"/>
  <c r="H2896" i="1"/>
  <c r="I2896" i="1"/>
  <c r="A2911" i="1"/>
  <c r="B2911" i="1"/>
  <c r="E2911" i="1"/>
  <c r="H2911" i="1"/>
  <c r="I2911" i="1"/>
  <c r="A2912" i="1"/>
  <c r="B2912" i="1"/>
  <c r="E2912" i="1"/>
  <c r="H2912" i="1"/>
  <c r="I2912" i="1"/>
  <c r="A2860" i="1"/>
  <c r="B2860" i="1"/>
  <c r="E2860" i="1"/>
  <c r="H2860" i="1"/>
  <c r="I2860" i="1"/>
  <c r="A2861" i="1"/>
  <c r="B2861" i="1"/>
  <c r="E2861" i="1"/>
  <c r="H2861" i="1"/>
  <c r="I2861" i="1"/>
  <c r="A2870" i="1"/>
  <c r="B2870" i="1"/>
  <c r="E2870" i="1"/>
  <c r="H2870" i="1"/>
  <c r="I2870" i="1"/>
  <c r="A2871" i="1"/>
  <c r="B2871" i="1"/>
  <c r="E2871" i="1"/>
  <c r="H2871" i="1"/>
  <c r="I2871" i="1"/>
  <c r="A2913" i="1"/>
  <c r="B2913" i="1"/>
  <c r="E2913" i="1"/>
  <c r="H2913" i="1"/>
  <c r="I2913" i="1"/>
  <c r="A2914" i="1"/>
  <c r="B2914" i="1"/>
  <c r="E2914" i="1"/>
  <c r="H2914" i="1"/>
  <c r="I2914" i="1"/>
  <c r="A2919" i="1"/>
  <c r="B2919" i="1"/>
  <c r="E2919" i="1"/>
  <c r="H2919" i="1"/>
  <c r="I2919" i="1"/>
  <c r="A2920" i="1"/>
  <c r="B2920" i="1"/>
  <c r="E2920" i="1"/>
  <c r="H2920" i="1"/>
  <c r="I2920" i="1"/>
  <c r="A2897" i="1"/>
  <c r="B2897" i="1"/>
  <c r="E2897" i="1"/>
  <c r="H2897" i="1"/>
  <c r="I2897" i="1"/>
  <c r="A2898" i="1"/>
  <c r="B2898" i="1"/>
  <c r="E2898" i="1"/>
  <c r="H2898" i="1"/>
  <c r="I2898" i="1"/>
  <c r="A2893" i="1"/>
  <c r="B2893" i="1"/>
  <c r="E2893" i="1"/>
  <c r="H2893" i="1"/>
  <c r="I2893" i="1"/>
  <c r="A2894" i="1"/>
  <c r="B2894" i="1"/>
  <c r="E2894" i="1"/>
  <c r="H2894" i="1"/>
  <c r="I2894" i="1"/>
  <c r="A2917" i="1"/>
  <c r="B2917" i="1"/>
  <c r="E2917" i="1"/>
  <c r="H2917" i="1"/>
  <c r="I2917" i="1"/>
  <c r="A2918" i="1"/>
  <c r="B2918" i="1"/>
  <c r="E2918" i="1"/>
  <c r="H2918" i="1"/>
  <c r="I2918" i="1"/>
  <c r="A2915" i="1"/>
  <c r="B2915" i="1"/>
  <c r="E2915" i="1"/>
  <c r="H2915" i="1"/>
  <c r="I2915" i="1"/>
  <c r="A2916" i="1"/>
  <c r="B2916" i="1"/>
  <c r="E2916" i="1"/>
  <c r="H2916" i="1"/>
  <c r="I2916" i="1"/>
  <c r="A2921" i="1"/>
  <c r="B2921" i="1"/>
  <c r="E2921" i="1"/>
  <c r="H2921" i="1"/>
  <c r="I2921" i="1"/>
  <c r="A2922" i="1"/>
  <c r="B2922" i="1"/>
  <c r="E2922" i="1"/>
  <c r="H2922" i="1"/>
  <c r="I2922" i="1"/>
  <c r="A2925" i="1"/>
  <c r="B2925" i="1"/>
  <c r="E2925" i="1"/>
  <c r="H2925" i="1"/>
  <c r="I2925" i="1"/>
  <c r="A2926" i="1"/>
  <c r="B2926" i="1"/>
  <c r="E2926" i="1"/>
  <c r="H2926" i="1"/>
  <c r="I2926" i="1"/>
  <c r="A2899" i="1"/>
  <c r="B2899" i="1"/>
  <c r="E2899" i="1"/>
  <c r="H2899" i="1"/>
  <c r="I2899" i="1"/>
  <c r="A2900" i="1"/>
  <c r="B2900" i="1"/>
  <c r="E2900" i="1"/>
  <c r="H2900" i="1"/>
  <c r="I2900" i="1"/>
  <c r="A2907" i="1"/>
  <c r="B2907" i="1"/>
  <c r="E2907" i="1"/>
  <c r="H2907" i="1"/>
  <c r="I2907" i="1"/>
  <c r="A2908" i="1"/>
  <c r="B2908" i="1"/>
  <c r="E2908" i="1"/>
  <c r="H2908" i="1"/>
  <c r="I2908" i="1"/>
  <c r="A2927" i="1"/>
  <c r="B2927" i="1"/>
  <c r="E2927" i="1"/>
  <c r="H2927" i="1"/>
  <c r="I2927" i="1"/>
  <c r="A2928" i="1"/>
  <c r="B2928" i="1"/>
  <c r="E2928" i="1"/>
  <c r="H2928" i="1"/>
  <c r="I2928" i="1"/>
  <c r="A2851" i="1"/>
  <c r="B2851" i="1"/>
  <c r="E2851" i="1"/>
  <c r="H2851" i="1"/>
  <c r="I2851" i="1"/>
  <c r="A2852" i="1"/>
  <c r="B2852" i="1"/>
  <c r="E2852" i="1"/>
  <c r="H2852" i="1"/>
  <c r="I2852" i="1"/>
  <c r="A2930" i="1"/>
  <c r="B2930" i="1"/>
  <c r="E2930" i="1"/>
  <c r="H2930" i="1"/>
  <c r="I2930" i="1"/>
  <c r="A1028" i="1"/>
  <c r="B1028" i="1"/>
  <c r="E1028" i="1"/>
  <c r="H1028" i="1"/>
  <c r="I1028" i="1"/>
  <c r="A1128" i="1"/>
  <c r="B1128" i="1"/>
  <c r="E1128" i="1"/>
  <c r="H1128" i="1"/>
  <c r="I1128" i="1"/>
  <c r="A1049" i="1"/>
  <c r="B1049" i="1"/>
  <c r="E1049" i="1"/>
  <c r="H1049" i="1"/>
  <c r="I1049" i="1"/>
  <c r="A1694" i="1"/>
  <c r="B1694" i="1"/>
  <c r="E1694" i="1"/>
  <c r="H1694" i="1"/>
  <c r="I1694" i="1"/>
  <c r="A2137" i="1"/>
  <c r="B2137" i="1"/>
  <c r="E2137" i="1"/>
  <c r="H2137" i="1"/>
  <c r="I2137" i="1"/>
  <c r="A2177" i="1"/>
  <c r="B2177" i="1"/>
  <c r="E2177" i="1"/>
  <c r="H2177" i="1"/>
  <c r="I2177" i="1"/>
  <c r="A2154" i="1"/>
  <c r="B2154" i="1"/>
  <c r="E2154" i="1"/>
  <c r="H2154" i="1"/>
  <c r="I2154" i="1"/>
  <c r="A2138" i="1"/>
  <c r="B2138" i="1"/>
  <c r="E2138" i="1"/>
  <c r="H2138" i="1"/>
  <c r="I2138" i="1"/>
  <c r="A2203" i="1"/>
  <c r="B2203" i="1"/>
  <c r="E2203" i="1"/>
  <c r="H2203" i="1"/>
  <c r="I2203" i="1"/>
  <c r="A2205" i="1"/>
  <c r="B2205" i="1"/>
  <c r="E2205" i="1"/>
  <c r="H2205" i="1"/>
  <c r="I2205" i="1"/>
  <c r="A2311" i="1"/>
  <c r="B2311" i="1"/>
  <c r="E2311" i="1"/>
  <c r="H2311" i="1"/>
  <c r="I2311" i="1"/>
  <c r="A2492" i="1"/>
  <c r="B2492" i="1"/>
  <c r="E2492" i="1"/>
  <c r="H2492" i="1"/>
  <c r="I2492" i="1"/>
  <c r="A2742" i="1"/>
  <c r="B2742" i="1"/>
  <c r="E2742" i="1"/>
  <c r="H2742" i="1"/>
  <c r="I2742" i="1"/>
  <c r="A3100" i="1"/>
  <c r="B3100" i="1"/>
  <c r="E3100" i="1"/>
  <c r="H3100" i="1"/>
  <c r="I3100" i="1"/>
  <c r="A3107" i="1"/>
  <c r="B3107" i="1"/>
  <c r="E3107" i="1"/>
  <c r="H3107" i="1"/>
  <c r="I3107" i="1"/>
  <c r="A3294" i="1"/>
  <c r="B3294" i="1"/>
  <c r="E3294" i="1"/>
  <c r="H3294" i="1"/>
  <c r="I3294" i="1"/>
  <c r="A3463" i="1"/>
  <c r="B3463" i="1"/>
  <c r="E3463" i="1"/>
  <c r="H3463" i="1"/>
  <c r="I3463" i="1"/>
  <c r="A315" i="1"/>
  <c r="B315" i="1"/>
  <c r="E315" i="1"/>
  <c r="H315" i="1"/>
  <c r="I315" i="1"/>
  <c r="A281" i="1"/>
  <c r="B281" i="1"/>
  <c r="E281" i="1"/>
  <c r="H281" i="1"/>
  <c r="I281" i="1"/>
  <c r="A311" i="1"/>
  <c r="B311" i="1"/>
  <c r="E311" i="1"/>
  <c r="H311" i="1"/>
  <c r="I311" i="1"/>
  <c r="A350" i="1"/>
  <c r="B350" i="1"/>
  <c r="E350" i="1"/>
  <c r="H350" i="1"/>
  <c r="I350" i="1"/>
  <c r="A515" i="1"/>
  <c r="B515" i="1"/>
  <c r="E515" i="1"/>
  <c r="H515" i="1"/>
  <c r="I515" i="1"/>
  <c r="A264" i="1"/>
  <c r="B264" i="1"/>
  <c r="E264" i="1"/>
  <c r="H264" i="1"/>
  <c r="I264" i="1"/>
  <c r="A621" i="1"/>
  <c r="B621" i="1"/>
  <c r="E621" i="1"/>
  <c r="H621" i="1"/>
  <c r="I621" i="1"/>
  <c r="A1343" i="1"/>
  <c r="B1343" i="1"/>
  <c r="E1343" i="1"/>
  <c r="H1343" i="1"/>
  <c r="I1343" i="1"/>
  <c r="A1362" i="1"/>
  <c r="B1362" i="1"/>
  <c r="E1362" i="1"/>
  <c r="H1362" i="1"/>
  <c r="I1362" i="1"/>
  <c r="A1327" i="1"/>
  <c r="B1327" i="1"/>
  <c r="E1327" i="1"/>
  <c r="H1327" i="1"/>
  <c r="I1327" i="1"/>
  <c r="A1398" i="1"/>
  <c r="B1398" i="1"/>
  <c r="E1398" i="1"/>
  <c r="H1398" i="1"/>
  <c r="I1398" i="1"/>
  <c r="A2432" i="1"/>
  <c r="B2432" i="1"/>
  <c r="E2432" i="1"/>
  <c r="H2432" i="1"/>
  <c r="I2432" i="1"/>
  <c r="A2430" i="1"/>
  <c r="B2430" i="1"/>
  <c r="E2430" i="1"/>
  <c r="H2430" i="1"/>
  <c r="I2430" i="1"/>
  <c r="A2620" i="1"/>
  <c r="B2620" i="1"/>
  <c r="E2620" i="1"/>
  <c r="H2620" i="1"/>
  <c r="I2620" i="1"/>
  <c r="A2645" i="1"/>
  <c r="B2645" i="1"/>
  <c r="E2645" i="1"/>
  <c r="H2645" i="1"/>
  <c r="I2645" i="1"/>
  <c r="A2660" i="1"/>
  <c r="B2660" i="1"/>
  <c r="E2660" i="1"/>
  <c r="H2660" i="1"/>
  <c r="I2660" i="1"/>
  <c r="A2679" i="1"/>
  <c r="B2679" i="1"/>
  <c r="E2679" i="1"/>
  <c r="H2679" i="1"/>
  <c r="I2679" i="1"/>
  <c r="A2766" i="1"/>
  <c r="B2766" i="1"/>
  <c r="E2766" i="1"/>
  <c r="H2766" i="1"/>
  <c r="I2766" i="1"/>
  <c r="A2442" i="1"/>
  <c r="B2442" i="1"/>
  <c r="E2442" i="1"/>
  <c r="H2442" i="1"/>
  <c r="I2442" i="1"/>
  <c r="A1454" i="1"/>
  <c r="B1454" i="1"/>
  <c r="E1454" i="1"/>
  <c r="H1454" i="1"/>
  <c r="I1454" i="1"/>
  <c r="A1434" i="1"/>
  <c r="B1434" i="1"/>
  <c r="E1434" i="1"/>
  <c r="H1434" i="1"/>
  <c r="I1434" i="1"/>
  <c r="A1432" i="1"/>
  <c r="B1432" i="1"/>
  <c r="E1432" i="1"/>
  <c r="H1432" i="1"/>
  <c r="I1432" i="1"/>
  <c r="A1439" i="1"/>
  <c r="B1439" i="1"/>
  <c r="E1439" i="1"/>
  <c r="H1439" i="1"/>
  <c r="I1439" i="1"/>
  <c r="A1444" i="1"/>
  <c r="B1444" i="1"/>
  <c r="E1444" i="1"/>
  <c r="H1444" i="1"/>
  <c r="I1444" i="1"/>
  <c r="A1442" i="1"/>
  <c r="B1442" i="1"/>
  <c r="E1442" i="1"/>
  <c r="H1442" i="1"/>
  <c r="I1442" i="1"/>
  <c r="A1436" i="1"/>
  <c r="B1436" i="1"/>
  <c r="E1436" i="1"/>
  <c r="H1436" i="1"/>
  <c r="I1436" i="1"/>
  <c r="A429" i="1"/>
  <c r="B429" i="1"/>
  <c r="E429" i="1"/>
  <c r="H429" i="1"/>
  <c r="I429" i="1"/>
  <c r="A1898" i="1"/>
  <c r="B1898" i="1"/>
  <c r="E1898" i="1"/>
  <c r="H1898" i="1"/>
  <c r="I1898" i="1"/>
  <c r="A3376" i="1"/>
  <c r="B3376" i="1"/>
  <c r="E3376" i="1"/>
  <c r="H3376" i="1"/>
  <c r="I3376" i="1"/>
  <c r="A3170" i="1"/>
  <c r="B3170" i="1"/>
  <c r="E3170" i="1"/>
  <c r="H3170" i="1"/>
  <c r="I3170" i="1"/>
  <c r="A3176" i="1"/>
  <c r="B3176" i="1"/>
  <c r="E3176" i="1"/>
  <c r="H3176" i="1"/>
  <c r="I3176" i="1"/>
  <c r="A3194" i="1"/>
  <c r="B3194" i="1"/>
  <c r="E3194" i="1"/>
  <c r="H3194" i="1"/>
  <c r="I3194" i="1"/>
  <c r="A3166" i="1"/>
  <c r="B3166" i="1"/>
  <c r="E3166" i="1"/>
  <c r="H3166" i="1"/>
  <c r="I3166" i="1"/>
  <c r="A3192" i="1"/>
  <c r="B3192" i="1"/>
  <c r="E3192" i="1"/>
  <c r="H3192" i="1"/>
  <c r="I3192" i="1"/>
  <c r="A3160" i="1"/>
  <c r="B3160" i="1"/>
  <c r="E3160" i="1"/>
  <c r="H3160" i="1"/>
  <c r="I3160" i="1"/>
  <c r="A3164" i="1"/>
  <c r="B3164" i="1"/>
  <c r="E3164" i="1"/>
  <c r="H3164" i="1"/>
  <c r="I3164" i="1"/>
  <c r="A3154" i="1"/>
  <c r="B3154" i="1"/>
  <c r="E3154" i="1"/>
  <c r="H3154" i="1"/>
  <c r="I3154" i="1"/>
  <c r="A3178" i="1"/>
  <c r="B3178" i="1"/>
  <c r="E3178" i="1"/>
  <c r="H3178" i="1"/>
  <c r="I3178" i="1"/>
  <c r="A3156" i="1"/>
  <c r="B3156" i="1"/>
  <c r="E3156" i="1"/>
  <c r="H3156" i="1"/>
  <c r="I3156" i="1"/>
  <c r="A3168" i="1"/>
  <c r="B3168" i="1"/>
  <c r="E3168" i="1"/>
  <c r="H3168" i="1"/>
  <c r="I3168" i="1"/>
  <c r="A3196" i="1"/>
  <c r="B3196" i="1"/>
  <c r="E3196" i="1"/>
  <c r="H3196" i="1"/>
  <c r="I3196" i="1"/>
  <c r="A3172" i="1"/>
  <c r="B3172" i="1"/>
  <c r="E3172" i="1"/>
  <c r="H3172" i="1"/>
  <c r="I3172" i="1"/>
  <c r="A3174" i="1"/>
  <c r="B3174" i="1"/>
  <c r="E3174" i="1"/>
  <c r="H3174" i="1"/>
  <c r="I3174" i="1"/>
  <c r="A3158" i="1"/>
  <c r="B3158" i="1"/>
  <c r="E3158" i="1"/>
  <c r="H3158" i="1"/>
  <c r="I3158" i="1"/>
  <c r="A3186" i="1"/>
  <c r="B3186" i="1"/>
  <c r="E3186" i="1"/>
  <c r="H3186" i="1"/>
  <c r="I3186" i="1"/>
  <c r="A3188" i="1"/>
  <c r="B3188" i="1"/>
  <c r="E3188" i="1"/>
  <c r="H3188" i="1"/>
  <c r="I3188" i="1"/>
  <c r="A3190" i="1"/>
  <c r="B3190" i="1"/>
  <c r="E3190" i="1"/>
  <c r="H3190" i="1"/>
  <c r="I3190" i="1"/>
  <c r="A3184" i="1"/>
  <c r="B3184" i="1"/>
  <c r="E3184" i="1"/>
  <c r="H3184" i="1"/>
  <c r="I3184" i="1"/>
  <c r="A3182" i="1"/>
  <c r="B3182" i="1"/>
  <c r="E3182" i="1"/>
  <c r="H3182" i="1"/>
  <c r="I3182" i="1"/>
  <c r="A3180" i="1"/>
  <c r="B3180" i="1"/>
  <c r="E3180" i="1"/>
  <c r="H3180" i="1"/>
  <c r="I3180" i="1"/>
  <c r="A3161" i="1"/>
  <c r="B3161" i="1"/>
  <c r="E3161" i="1"/>
  <c r="H3161" i="1"/>
  <c r="I3161" i="1"/>
  <c r="A3171" i="1"/>
  <c r="B3171" i="1"/>
  <c r="E3171" i="1"/>
  <c r="H3171" i="1"/>
  <c r="I3171" i="1"/>
  <c r="A3177" i="1"/>
  <c r="B3177" i="1"/>
  <c r="E3177" i="1"/>
  <c r="H3177" i="1"/>
  <c r="I3177" i="1"/>
  <c r="A3195" i="1"/>
  <c r="B3195" i="1"/>
  <c r="E3195" i="1"/>
  <c r="H3195" i="1"/>
  <c r="I3195" i="1"/>
  <c r="A3167" i="1"/>
  <c r="B3167" i="1"/>
  <c r="E3167" i="1"/>
  <c r="H3167" i="1"/>
  <c r="I3167" i="1"/>
  <c r="A3193" i="1"/>
  <c r="B3193" i="1"/>
  <c r="E3193" i="1"/>
  <c r="H3193" i="1"/>
  <c r="I3193" i="1"/>
  <c r="A3162" i="1"/>
  <c r="B3162" i="1"/>
  <c r="E3162" i="1"/>
  <c r="H3162" i="1"/>
  <c r="I3162" i="1"/>
  <c r="A3165" i="1"/>
  <c r="B3165" i="1"/>
  <c r="E3165" i="1"/>
  <c r="H3165" i="1"/>
  <c r="I3165" i="1"/>
  <c r="A3155" i="1"/>
  <c r="B3155" i="1"/>
  <c r="E3155" i="1"/>
  <c r="H3155" i="1"/>
  <c r="I3155" i="1"/>
  <c r="A1659" i="1"/>
  <c r="B1659" i="1"/>
  <c r="E1659" i="1"/>
  <c r="H1659" i="1"/>
  <c r="I1659" i="1"/>
  <c r="A1660" i="1"/>
  <c r="B1660" i="1"/>
  <c r="E1660" i="1"/>
  <c r="H1660" i="1"/>
  <c r="I1660" i="1"/>
  <c r="A1643" i="1"/>
  <c r="B1643" i="1"/>
  <c r="E1643" i="1"/>
  <c r="H1643" i="1"/>
  <c r="I1643" i="1"/>
  <c r="A1644" i="1"/>
  <c r="B1644" i="1"/>
  <c r="E1644" i="1"/>
  <c r="H1644" i="1"/>
  <c r="I1644" i="1"/>
  <c r="A1629" i="1"/>
  <c r="B1629" i="1"/>
  <c r="E1629" i="1"/>
  <c r="H1629" i="1"/>
  <c r="I1629" i="1"/>
  <c r="A1630" i="1"/>
  <c r="B1630" i="1"/>
  <c r="E1630" i="1"/>
  <c r="H1630" i="1"/>
  <c r="I1630" i="1"/>
  <c r="A1633" i="1"/>
  <c r="B1633" i="1"/>
  <c r="E1633" i="1"/>
  <c r="H1633" i="1"/>
  <c r="I1633" i="1"/>
  <c r="A1634" i="1"/>
  <c r="B1634" i="1"/>
  <c r="E1634" i="1"/>
  <c r="H1634" i="1"/>
  <c r="I1634" i="1"/>
  <c r="A1635" i="1"/>
  <c r="B1635" i="1"/>
  <c r="E1635" i="1"/>
  <c r="H1635" i="1"/>
  <c r="I1635" i="1"/>
  <c r="A1636" i="1"/>
  <c r="B1636" i="1"/>
  <c r="E1636" i="1"/>
  <c r="H1636" i="1"/>
  <c r="I1636" i="1"/>
  <c r="A1631" i="1"/>
  <c r="B1631" i="1"/>
  <c r="E1631" i="1"/>
  <c r="H1631" i="1"/>
  <c r="I1631" i="1"/>
  <c r="A1632" i="1"/>
  <c r="B1632" i="1"/>
  <c r="E1632" i="1"/>
  <c r="H1632" i="1"/>
  <c r="I1632" i="1"/>
  <c r="A1645" i="1"/>
  <c r="B1645" i="1"/>
  <c r="E1645" i="1"/>
  <c r="H1645" i="1"/>
  <c r="I1645" i="1"/>
  <c r="A1646" i="1"/>
  <c r="B1646" i="1"/>
  <c r="E1646" i="1"/>
  <c r="H1646" i="1"/>
  <c r="I1646" i="1"/>
  <c r="A1639" i="1"/>
  <c r="B1639" i="1"/>
  <c r="E1639" i="1"/>
  <c r="H1639" i="1"/>
  <c r="I1639" i="1"/>
  <c r="A1640" i="1"/>
  <c r="B1640" i="1"/>
  <c r="E1640" i="1"/>
  <c r="H1640" i="1"/>
  <c r="I1640" i="1"/>
  <c r="A1661" i="1"/>
  <c r="B1661" i="1"/>
  <c r="E1661" i="1"/>
  <c r="H1661" i="1"/>
  <c r="I1661" i="1"/>
  <c r="A1662" i="1"/>
  <c r="B1662" i="1"/>
  <c r="E1662" i="1"/>
  <c r="H1662" i="1"/>
  <c r="I1662" i="1"/>
  <c r="A1637" i="1"/>
  <c r="B1637" i="1"/>
  <c r="E1637" i="1"/>
  <c r="H1637" i="1"/>
  <c r="I1637" i="1"/>
  <c r="A1638" i="1"/>
  <c r="B1638" i="1"/>
  <c r="E1638" i="1"/>
  <c r="H1638" i="1"/>
  <c r="I1638" i="1"/>
  <c r="A1647" i="1"/>
  <c r="B1647" i="1"/>
  <c r="E1647" i="1"/>
  <c r="H1647" i="1"/>
  <c r="I1647" i="1"/>
  <c r="A1648" i="1"/>
  <c r="B1648" i="1"/>
  <c r="E1648" i="1"/>
  <c r="H1648" i="1"/>
  <c r="I1648" i="1"/>
  <c r="A1667" i="1"/>
  <c r="B1667" i="1"/>
  <c r="E1667" i="1"/>
  <c r="H1667" i="1"/>
  <c r="I1667" i="1"/>
  <c r="A1668" i="1"/>
  <c r="B1668" i="1"/>
  <c r="E1668" i="1"/>
  <c r="H1668" i="1"/>
  <c r="I1668" i="1"/>
  <c r="A1649" i="1"/>
  <c r="B1649" i="1"/>
  <c r="E1649" i="1"/>
  <c r="H1649" i="1"/>
  <c r="I1649" i="1"/>
  <c r="A1650" i="1"/>
  <c r="B1650" i="1"/>
  <c r="E1650" i="1"/>
  <c r="H1650" i="1"/>
  <c r="I1650" i="1"/>
  <c r="A1651" i="1"/>
  <c r="B1651" i="1"/>
  <c r="E1651" i="1"/>
  <c r="H1651" i="1"/>
  <c r="I1651" i="1"/>
  <c r="A1652" i="1"/>
  <c r="B1652" i="1"/>
  <c r="E1652" i="1"/>
  <c r="H1652" i="1"/>
  <c r="I1652" i="1"/>
  <c r="A1653" i="1"/>
  <c r="B1653" i="1"/>
  <c r="E1653" i="1"/>
  <c r="H1653" i="1"/>
  <c r="I1653" i="1"/>
  <c r="A1654" i="1"/>
  <c r="B1654" i="1"/>
  <c r="E1654" i="1"/>
  <c r="H1654" i="1"/>
  <c r="I1654" i="1"/>
  <c r="A1657" i="1"/>
  <c r="B1657" i="1"/>
  <c r="E1657" i="1"/>
  <c r="H1657" i="1"/>
  <c r="I1657" i="1"/>
  <c r="A1658" i="1"/>
  <c r="B1658" i="1"/>
  <c r="E1658" i="1"/>
  <c r="H1658" i="1"/>
  <c r="I1658" i="1"/>
  <c r="A1669" i="1"/>
  <c r="B1669" i="1"/>
  <c r="E1669" i="1"/>
  <c r="H1669" i="1"/>
  <c r="I1669" i="1"/>
  <c r="A1670" i="1"/>
  <c r="B1670" i="1"/>
  <c r="E1670" i="1"/>
  <c r="H1670" i="1"/>
  <c r="I1670" i="1"/>
  <c r="A1663" i="1"/>
  <c r="B1663" i="1"/>
  <c r="E1663" i="1"/>
  <c r="H1663" i="1"/>
  <c r="I1663" i="1"/>
  <c r="A1664" i="1"/>
  <c r="B1664" i="1"/>
  <c r="E1664" i="1"/>
  <c r="H1664" i="1"/>
  <c r="I1664" i="1"/>
  <c r="A1671" i="1"/>
  <c r="B1671" i="1"/>
  <c r="E1671" i="1"/>
  <c r="H1671" i="1"/>
  <c r="I1671" i="1"/>
  <c r="A1672" i="1"/>
  <c r="B1672" i="1"/>
  <c r="E1672" i="1"/>
  <c r="H1672" i="1"/>
  <c r="I1672" i="1"/>
  <c r="A1665" i="1"/>
  <c r="B1665" i="1"/>
  <c r="E1665" i="1"/>
  <c r="H1665" i="1"/>
  <c r="I1665" i="1"/>
  <c r="A1666" i="1"/>
  <c r="B1666" i="1"/>
  <c r="E1666" i="1"/>
  <c r="H1666" i="1"/>
  <c r="I1666" i="1"/>
  <c r="A1673" i="1"/>
  <c r="B1673" i="1"/>
  <c r="E1673" i="1"/>
  <c r="H1673" i="1"/>
  <c r="I1673" i="1"/>
  <c r="A1674" i="1"/>
  <c r="B1674" i="1"/>
  <c r="E1674" i="1"/>
  <c r="H1674" i="1"/>
  <c r="I1674" i="1"/>
  <c r="A1340" i="1"/>
  <c r="B1340" i="1"/>
  <c r="E1340" i="1"/>
  <c r="H1340" i="1"/>
  <c r="I1340" i="1"/>
  <c r="A2170" i="1"/>
  <c r="B2170" i="1"/>
  <c r="E2170" i="1"/>
  <c r="H2170" i="1"/>
  <c r="I2170" i="1"/>
  <c r="A1959" i="1"/>
  <c r="B1959" i="1"/>
  <c r="E1959" i="1"/>
  <c r="H1959" i="1"/>
  <c r="I1959" i="1"/>
  <c r="A1960" i="1"/>
  <c r="B1960" i="1"/>
  <c r="E1960" i="1"/>
  <c r="H1960" i="1"/>
  <c r="I1960" i="1"/>
  <c r="A1957" i="1"/>
  <c r="B1957" i="1"/>
  <c r="E1957" i="1"/>
  <c r="H1957" i="1"/>
  <c r="I1957" i="1"/>
  <c r="A1958" i="1"/>
  <c r="B1958" i="1"/>
  <c r="E1958" i="1"/>
  <c r="H1958" i="1"/>
  <c r="I1958" i="1"/>
  <c r="A1973" i="1"/>
  <c r="B1973" i="1"/>
  <c r="E1973" i="1"/>
  <c r="H1973" i="1"/>
  <c r="I1973" i="1"/>
  <c r="A1974" i="1"/>
  <c r="B1974" i="1"/>
  <c r="E1974" i="1"/>
  <c r="H1974" i="1"/>
  <c r="I1974" i="1"/>
  <c r="A1975" i="1"/>
  <c r="B1975" i="1"/>
  <c r="E1975" i="1"/>
  <c r="H1975" i="1"/>
  <c r="I1975" i="1"/>
  <c r="A1976" i="1"/>
  <c r="B1976" i="1"/>
  <c r="E1976" i="1"/>
  <c r="H1976" i="1"/>
  <c r="I1976" i="1"/>
  <c r="A1971" i="1"/>
  <c r="B1971" i="1"/>
  <c r="E1971" i="1"/>
  <c r="H1971" i="1"/>
  <c r="I1971" i="1"/>
  <c r="A1972" i="1"/>
  <c r="B1972" i="1"/>
  <c r="E1972" i="1"/>
  <c r="H1972" i="1"/>
  <c r="I1972" i="1"/>
  <c r="A1955" i="1"/>
  <c r="B1955" i="1"/>
  <c r="E1955" i="1"/>
  <c r="H1955" i="1"/>
  <c r="I1955" i="1"/>
  <c r="A1956" i="1"/>
  <c r="B1956" i="1"/>
  <c r="E1956" i="1"/>
  <c r="H1956" i="1"/>
  <c r="I1956" i="1"/>
  <c r="A1963" i="1"/>
  <c r="B1963" i="1"/>
  <c r="E1963" i="1"/>
  <c r="H1963" i="1"/>
  <c r="I1963" i="1"/>
  <c r="A1964" i="1"/>
  <c r="B1964" i="1"/>
  <c r="E1964" i="1"/>
  <c r="H1964" i="1"/>
  <c r="I1964" i="1"/>
  <c r="A1961" i="1"/>
  <c r="B1961" i="1"/>
  <c r="E1961" i="1"/>
  <c r="H1961" i="1"/>
  <c r="I1961" i="1"/>
  <c r="A1962" i="1"/>
  <c r="B1962" i="1"/>
  <c r="E1962" i="1"/>
  <c r="H1962" i="1"/>
  <c r="I1962" i="1"/>
  <c r="A1997" i="1"/>
  <c r="B1997" i="1"/>
  <c r="E1997" i="1"/>
  <c r="H1997" i="1"/>
  <c r="I1997" i="1"/>
  <c r="A1998" i="1"/>
  <c r="B1998" i="1"/>
  <c r="E1998" i="1"/>
  <c r="H1998" i="1"/>
  <c r="I1998" i="1"/>
  <c r="A1989" i="1"/>
  <c r="B1989" i="1"/>
  <c r="E1989" i="1"/>
  <c r="H1989" i="1"/>
  <c r="I1989" i="1"/>
  <c r="A1990" i="1"/>
  <c r="B1990" i="1"/>
  <c r="E1990" i="1"/>
  <c r="H1990" i="1"/>
  <c r="I1990" i="1"/>
  <c r="A1977" i="1"/>
  <c r="B1977" i="1"/>
  <c r="E1977" i="1"/>
  <c r="H1977" i="1"/>
  <c r="I1977" i="1"/>
  <c r="A1978" i="1"/>
  <c r="B1978" i="1"/>
  <c r="E1978" i="1"/>
  <c r="H1978" i="1"/>
  <c r="I1978" i="1"/>
  <c r="A1983" i="1"/>
  <c r="B1983" i="1"/>
  <c r="E1983" i="1"/>
  <c r="H1983" i="1"/>
  <c r="I1983" i="1"/>
  <c r="A1984" i="1"/>
  <c r="B1984" i="1"/>
  <c r="E1984" i="1"/>
  <c r="H1984" i="1"/>
  <c r="I1984" i="1"/>
  <c r="A1995" i="1"/>
  <c r="B1995" i="1"/>
  <c r="E1995" i="1"/>
  <c r="H1995" i="1"/>
  <c r="I1995" i="1"/>
  <c r="A1996" i="1"/>
  <c r="B1996" i="1"/>
  <c r="E1996" i="1"/>
  <c r="H1996" i="1"/>
  <c r="I1996" i="1"/>
  <c r="A1991" i="1"/>
  <c r="B1991" i="1"/>
  <c r="E1991" i="1"/>
  <c r="H1991" i="1"/>
  <c r="I1991" i="1"/>
  <c r="A1992" i="1"/>
  <c r="B1992" i="1"/>
  <c r="E1992" i="1"/>
  <c r="H1992" i="1"/>
  <c r="I1992" i="1"/>
  <c r="A1993" i="1"/>
  <c r="B1993" i="1"/>
  <c r="E1993" i="1"/>
  <c r="H1993" i="1"/>
  <c r="I1993" i="1"/>
  <c r="A1994" i="1"/>
  <c r="B1994" i="1"/>
  <c r="E1994" i="1"/>
  <c r="H1994" i="1"/>
  <c r="I1994" i="1"/>
  <c r="A1987" i="1"/>
  <c r="B1987" i="1"/>
  <c r="E1987" i="1"/>
  <c r="H1987" i="1"/>
  <c r="I1987" i="1"/>
  <c r="A1988" i="1"/>
  <c r="B1988" i="1"/>
  <c r="E1988" i="1"/>
  <c r="H1988" i="1"/>
  <c r="I1988" i="1"/>
  <c r="A1979" i="1"/>
  <c r="B1979" i="1"/>
  <c r="E1979" i="1"/>
  <c r="H1979" i="1"/>
  <c r="I1979" i="1"/>
  <c r="A1980" i="1"/>
  <c r="B1980" i="1"/>
  <c r="E1980" i="1"/>
  <c r="H1980" i="1"/>
  <c r="I1980" i="1"/>
  <c r="A1953" i="1"/>
  <c r="B1953" i="1"/>
  <c r="E1953" i="1"/>
  <c r="H1953" i="1"/>
  <c r="I1953" i="1"/>
  <c r="A1954" i="1"/>
  <c r="B1954" i="1"/>
  <c r="E1954" i="1"/>
  <c r="H1954" i="1"/>
  <c r="I1954" i="1"/>
  <c r="A1965" i="1"/>
  <c r="B1965" i="1"/>
  <c r="E1965" i="1"/>
  <c r="H1965" i="1"/>
  <c r="I1965" i="1"/>
  <c r="A1966" i="1"/>
  <c r="B1966" i="1"/>
  <c r="E1966" i="1"/>
  <c r="H1966" i="1"/>
  <c r="I1966" i="1"/>
  <c r="A1999" i="1"/>
  <c r="B1999" i="1"/>
  <c r="E1999" i="1"/>
  <c r="H1999" i="1"/>
  <c r="I1999" i="1"/>
  <c r="A2000" i="1"/>
  <c r="B2000" i="1"/>
  <c r="E2000" i="1"/>
  <c r="H2000" i="1"/>
  <c r="I2000" i="1"/>
  <c r="A1985" i="1"/>
  <c r="B1985" i="1"/>
  <c r="E1985" i="1"/>
  <c r="H1985" i="1"/>
  <c r="I1985" i="1"/>
  <c r="A1986" i="1"/>
  <c r="B1986" i="1"/>
  <c r="E1986" i="1"/>
  <c r="H1986" i="1"/>
  <c r="I1986" i="1"/>
  <c r="A1967" i="1"/>
  <c r="B1967" i="1"/>
  <c r="E1967" i="1"/>
  <c r="H1967" i="1"/>
  <c r="I1967" i="1"/>
  <c r="A1968" i="1"/>
  <c r="B1968" i="1"/>
  <c r="E1968" i="1"/>
  <c r="H1968" i="1"/>
  <c r="I1968" i="1"/>
  <c r="A1969" i="1"/>
  <c r="B1969" i="1"/>
  <c r="E1969" i="1"/>
  <c r="H1969" i="1"/>
  <c r="I1969" i="1"/>
  <c r="A1970" i="1"/>
  <c r="B1970" i="1"/>
  <c r="E1970" i="1"/>
  <c r="H1970" i="1"/>
  <c r="I1970" i="1"/>
  <c r="A2001" i="1"/>
  <c r="B2001" i="1"/>
  <c r="E2001" i="1"/>
  <c r="H2001" i="1"/>
  <c r="I2001" i="1"/>
  <c r="A2002" i="1"/>
  <c r="B2002" i="1"/>
  <c r="E2002" i="1"/>
  <c r="H2002" i="1"/>
  <c r="I2002" i="1"/>
  <c r="A2003" i="1"/>
  <c r="B2003" i="1"/>
  <c r="E2003" i="1"/>
  <c r="H2003" i="1"/>
  <c r="I2003" i="1"/>
  <c r="A2004" i="1"/>
  <c r="B2004" i="1"/>
  <c r="E2004" i="1"/>
  <c r="H2004" i="1"/>
  <c r="I2004" i="1"/>
  <c r="A1981" i="1"/>
  <c r="B1981" i="1"/>
  <c r="E1981" i="1"/>
  <c r="H1981" i="1"/>
  <c r="I1981" i="1"/>
  <c r="A1982" i="1"/>
  <c r="B1982" i="1"/>
  <c r="E1982" i="1"/>
  <c r="H1982" i="1"/>
  <c r="I1982" i="1"/>
  <c r="A2005" i="1"/>
  <c r="B2005" i="1"/>
  <c r="E2005" i="1"/>
  <c r="H2005" i="1"/>
  <c r="I2005" i="1"/>
  <c r="A2006" i="1"/>
  <c r="B2006" i="1"/>
  <c r="E2006" i="1"/>
  <c r="H2006" i="1"/>
  <c r="I2006" i="1"/>
  <c r="A3580" i="1"/>
  <c r="B3580" i="1"/>
  <c r="E3580" i="1"/>
  <c r="H3580" i="1"/>
  <c r="I3580" i="1"/>
  <c r="A3042" i="1"/>
  <c r="B3042" i="1"/>
  <c r="E3042" i="1"/>
  <c r="H3042" i="1"/>
  <c r="I3042" i="1"/>
  <c r="A1196" i="1"/>
  <c r="B1196" i="1"/>
  <c r="E1196" i="1"/>
  <c r="H1196" i="1"/>
  <c r="I1196" i="1"/>
  <c r="A1182" i="1"/>
  <c r="B1182" i="1"/>
  <c r="E1182" i="1"/>
  <c r="H1182" i="1"/>
  <c r="I1182" i="1"/>
  <c r="A3581" i="1"/>
  <c r="B3581" i="1"/>
  <c r="E3581" i="1"/>
  <c r="H3581" i="1"/>
  <c r="I3581" i="1"/>
  <c r="A3572" i="1"/>
  <c r="B3572" i="1"/>
  <c r="E3572" i="1"/>
  <c r="H3572" i="1"/>
  <c r="I3572" i="1"/>
  <c r="A3573" i="1"/>
  <c r="B3573" i="1"/>
  <c r="E3573" i="1"/>
  <c r="H3573" i="1"/>
  <c r="I3573" i="1"/>
  <c r="A3574" i="1"/>
  <c r="B3574" i="1"/>
  <c r="E3574" i="1"/>
  <c r="H3574" i="1"/>
  <c r="I3574" i="1"/>
  <c r="A3575" i="1"/>
  <c r="B3575" i="1"/>
  <c r="E3575" i="1"/>
  <c r="H3575" i="1"/>
  <c r="I3575" i="1"/>
  <c r="A3576" i="1"/>
  <c r="B3576" i="1"/>
  <c r="E3576" i="1"/>
  <c r="H3576" i="1"/>
  <c r="I3576" i="1"/>
  <c r="A3577" i="1"/>
  <c r="B3577" i="1"/>
  <c r="E3577" i="1"/>
  <c r="H3577" i="1"/>
  <c r="I3577" i="1"/>
  <c r="A3578" i="1"/>
  <c r="B3578" i="1"/>
  <c r="E3578" i="1"/>
  <c r="H3578" i="1"/>
  <c r="I3578" i="1"/>
  <c r="A3579" i="1"/>
  <c r="B3579" i="1"/>
  <c r="E3579" i="1"/>
  <c r="H3579" i="1"/>
  <c r="I3579" i="1"/>
  <c r="A1452" i="1"/>
  <c r="B1452" i="1"/>
  <c r="E1452" i="1"/>
  <c r="H1452" i="1"/>
  <c r="I1452" i="1"/>
  <c r="A1450" i="1"/>
  <c r="B1450" i="1"/>
  <c r="E1450" i="1"/>
  <c r="H1450" i="1"/>
  <c r="I1450" i="1"/>
  <c r="A1446" i="1"/>
  <c r="B1446" i="1"/>
  <c r="E1446" i="1"/>
  <c r="H1446" i="1"/>
  <c r="I1446" i="1"/>
  <c r="A1448" i="1"/>
  <c r="B1448" i="1"/>
  <c r="E1448" i="1"/>
  <c r="H1448" i="1"/>
  <c r="I1448" i="1"/>
  <c r="A169" i="1"/>
  <c r="B169" i="1"/>
  <c r="E169" i="1"/>
  <c r="H169" i="1"/>
  <c r="I169" i="1"/>
  <c r="A780" i="1"/>
  <c r="B780" i="1"/>
  <c r="E780" i="1"/>
  <c r="H780" i="1"/>
  <c r="I780" i="1"/>
  <c r="A771" i="1"/>
  <c r="B771" i="1"/>
  <c r="E771" i="1"/>
  <c r="H771" i="1"/>
  <c r="I771" i="1"/>
  <c r="A774" i="1"/>
  <c r="B774" i="1"/>
  <c r="E774" i="1"/>
  <c r="H774" i="1"/>
  <c r="I774" i="1"/>
  <c r="A92" i="1"/>
  <c r="B92" i="1"/>
  <c r="E92" i="1"/>
  <c r="H92" i="1"/>
  <c r="I92" i="1"/>
  <c r="A921" i="1"/>
  <c r="B921" i="1"/>
  <c r="E921" i="1"/>
  <c r="H921" i="1"/>
  <c r="I921" i="1"/>
  <c r="A917" i="1"/>
  <c r="B917" i="1"/>
  <c r="E917" i="1"/>
  <c r="H917" i="1"/>
  <c r="I917" i="1"/>
  <c r="A929" i="1"/>
  <c r="B929" i="1"/>
  <c r="E929" i="1"/>
  <c r="H929" i="1"/>
  <c r="I929" i="1"/>
  <c r="A919" i="1"/>
  <c r="B919" i="1"/>
  <c r="E919" i="1"/>
  <c r="H919" i="1"/>
  <c r="I919" i="1"/>
  <c r="A941" i="1"/>
  <c r="B941" i="1"/>
  <c r="E941" i="1"/>
  <c r="H941" i="1"/>
  <c r="I941" i="1"/>
  <c r="A933" i="1"/>
  <c r="B933" i="1"/>
  <c r="E933" i="1"/>
  <c r="H933" i="1"/>
  <c r="I933" i="1"/>
  <c r="A967" i="1"/>
  <c r="B967" i="1"/>
  <c r="E967" i="1"/>
  <c r="H967" i="1"/>
  <c r="I967" i="1"/>
  <c r="A955" i="1"/>
  <c r="B955" i="1"/>
  <c r="E955" i="1"/>
  <c r="H955" i="1"/>
  <c r="I955" i="1"/>
  <c r="A937" i="1"/>
  <c r="B937" i="1"/>
  <c r="E937" i="1"/>
  <c r="H937" i="1"/>
  <c r="I937" i="1"/>
  <c r="A923" i="1"/>
  <c r="B923" i="1"/>
  <c r="E923" i="1"/>
  <c r="H923" i="1"/>
  <c r="I923" i="1"/>
  <c r="A953" i="1"/>
  <c r="B953" i="1"/>
  <c r="E953" i="1"/>
  <c r="H953" i="1"/>
  <c r="I953" i="1"/>
  <c r="A951" i="1"/>
  <c r="B951" i="1"/>
  <c r="E951" i="1"/>
  <c r="H951" i="1"/>
  <c r="I951" i="1"/>
  <c r="A915" i="1"/>
  <c r="B915" i="1"/>
  <c r="E915" i="1"/>
  <c r="H915" i="1"/>
  <c r="I915" i="1"/>
  <c r="A935" i="1"/>
  <c r="B935" i="1"/>
  <c r="E935" i="1"/>
  <c r="H935" i="1"/>
  <c r="I935" i="1"/>
  <c r="A947" i="1"/>
  <c r="B947" i="1"/>
  <c r="E947" i="1"/>
  <c r="H947" i="1"/>
  <c r="I947" i="1"/>
  <c r="A949" i="1"/>
  <c r="B949" i="1"/>
  <c r="E949" i="1"/>
  <c r="H949" i="1"/>
  <c r="I949" i="1"/>
  <c r="A930" i="1"/>
  <c r="B930" i="1"/>
  <c r="E930" i="1"/>
  <c r="H930" i="1"/>
  <c r="I930" i="1"/>
  <c r="A942" i="1"/>
  <c r="B942" i="1"/>
  <c r="E942" i="1"/>
  <c r="H942" i="1"/>
  <c r="I942" i="1"/>
  <c r="A961" i="1"/>
  <c r="B961" i="1"/>
  <c r="E961" i="1"/>
  <c r="H961" i="1"/>
  <c r="I961" i="1"/>
  <c r="A962" i="1"/>
  <c r="B962" i="1"/>
  <c r="E962" i="1"/>
  <c r="H962" i="1"/>
  <c r="I962" i="1"/>
  <c r="A965" i="1"/>
  <c r="B965" i="1"/>
  <c r="E965" i="1"/>
  <c r="H965" i="1"/>
  <c r="I965" i="1"/>
  <c r="A959" i="1"/>
  <c r="B959" i="1"/>
  <c r="E959" i="1"/>
  <c r="H959" i="1"/>
  <c r="I959" i="1"/>
  <c r="A939" i="1"/>
  <c r="B939" i="1"/>
  <c r="E939" i="1"/>
  <c r="H939" i="1"/>
  <c r="I939" i="1"/>
  <c r="A925" i="1"/>
  <c r="B925" i="1"/>
  <c r="E925" i="1"/>
  <c r="H925" i="1"/>
  <c r="I925" i="1"/>
  <c r="A957" i="1"/>
  <c r="B957" i="1"/>
  <c r="E957" i="1"/>
  <c r="H957" i="1"/>
  <c r="I957" i="1"/>
  <c r="A945" i="1"/>
  <c r="B945" i="1"/>
  <c r="E945" i="1"/>
  <c r="H945" i="1"/>
  <c r="I945" i="1"/>
  <c r="A971" i="1"/>
  <c r="B971" i="1"/>
  <c r="E971" i="1"/>
  <c r="H971" i="1"/>
  <c r="I971" i="1"/>
  <c r="A927" i="1"/>
  <c r="B927" i="1"/>
  <c r="E927" i="1"/>
  <c r="H927" i="1"/>
  <c r="I927" i="1"/>
  <c r="A969" i="1"/>
  <c r="B969" i="1"/>
  <c r="E969" i="1"/>
  <c r="H969" i="1"/>
  <c r="I969" i="1"/>
  <c r="A928" i="1"/>
  <c r="B928" i="1"/>
  <c r="E928" i="1"/>
  <c r="H928" i="1"/>
  <c r="I928" i="1"/>
  <c r="A922" i="1"/>
  <c r="B922" i="1"/>
  <c r="E922" i="1"/>
  <c r="H922" i="1"/>
  <c r="I922" i="1"/>
  <c r="A918" i="1"/>
  <c r="B918" i="1"/>
  <c r="E918" i="1"/>
  <c r="H918" i="1"/>
  <c r="I918" i="1"/>
  <c r="A931" i="1"/>
  <c r="B931" i="1"/>
  <c r="E931" i="1"/>
  <c r="H931" i="1"/>
  <c r="I931" i="1"/>
  <c r="A920" i="1"/>
  <c r="B920" i="1"/>
  <c r="E920" i="1"/>
  <c r="H920" i="1"/>
  <c r="I920" i="1"/>
  <c r="A943" i="1"/>
  <c r="B943" i="1"/>
  <c r="E943" i="1"/>
  <c r="H943" i="1"/>
  <c r="I943" i="1"/>
  <c r="A934" i="1"/>
  <c r="B934" i="1"/>
  <c r="E934" i="1"/>
  <c r="H934" i="1"/>
  <c r="I934" i="1"/>
  <c r="A968" i="1"/>
  <c r="B968" i="1"/>
  <c r="E968" i="1"/>
  <c r="H968" i="1"/>
  <c r="I968" i="1"/>
  <c r="A956" i="1"/>
  <c r="B956" i="1"/>
  <c r="E956" i="1"/>
  <c r="H956" i="1"/>
  <c r="I956" i="1"/>
  <c r="A938" i="1"/>
  <c r="B938" i="1"/>
  <c r="E938" i="1"/>
  <c r="H938" i="1"/>
  <c r="I938" i="1"/>
  <c r="A924" i="1"/>
  <c r="B924" i="1"/>
  <c r="E924" i="1"/>
  <c r="H924" i="1"/>
  <c r="I924" i="1"/>
  <c r="A954" i="1"/>
  <c r="B954" i="1"/>
  <c r="E954" i="1"/>
  <c r="H954" i="1"/>
  <c r="I954" i="1"/>
  <c r="A952" i="1"/>
  <c r="B952" i="1"/>
  <c r="E952" i="1"/>
  <c r="H952" i="1"/>
  <c r="I952" i="1"/>
  <c r="A916" i="1"/>
  <c r="B916" i="1"/>
  <c r="E916" i="1"/>
  <c r="H916" i="1"/>
  <c r="I916" i="1"/>
  <c r="A936" i="1"/>
  <c r="B936" i="1"/>
  <c r="E936" i="1"/>
  <c r="H936" i="1"/>
  <c r="I936" i="1"/>
  <c r="A948" i="1"/>
  <c r="B948" i="1"/>
  <c r="E948" i="1"/>
  <c r="H948" i="1"/>
  <c r="I948" i="1"/>
  <c r="A950" i="1"/>
  <c r="B950" i="1"/>
  <c r="E950" i="1"/>
  <c r="H950" i="1"/>
  <c r="I950" i="1"/>
  <c r="A932" i="1"/>
  <c r="B932" i="1"/>
  <c r="E932" i="1"/>
  <c r="H932" i="1"/>
  <c r="I932" i="1"/>
  <c r="A944" i="1"/>
  <c r="B944" i="1"/>
  <c r="E944" i="1"/>
  <c r="H944" i="1"/>
  <c r="I944" i="1"/>
  <c r="A963" i="1"/>
  <c r="B963" i="1"/>
  <c r="E963" i="1"/>
  <c r="H963" i="1"/>
  <c r="I963" i="1"/>
  <c r="A964" i="1"/>
  <c r="B964" i="1"/>
  <c r="E964" i="1"/>
  <c r="H964" i="1"/>
  <c r="I964" i="1"/>
  <c r="A1081" i="1"/>
  <c r="B1081" i="1"/>
  <c r="E1081" i="1"/>
  <c r="H1081" i="1"/>
  <c r="I1081" i="1"/>
  <c r="A1073" i="1"/>
  <c r="B1073" i="1"/>
  <c r="E1073" i="1"/>
  <c r="H1073" i="1"/>
  <c r="I1073" i="1"/>
  <c r="A1085" i="1"/>
  <c r="B1085" i="1"/>
  <c r="E1085" i="1"/>
  <c r="H1085" i="1"/>
  <c r="I1085" i="1"/>
  <c r="A1050" i="1"/>
  <c r="B1050" i="1"/>
  <c r="E1050" i="1"/>
  <c r="H1050" i="1"/>
  <c r="I1050" i="1"/>
  <c r="A1093" i="1"/>
  <c r="B1093" i="1"/>
  <c r="E1093" i="1"/>
  <c r="H1093" i="1"/>
  <c r="I1093" i="1"/>
  <c r="A1101" i="1"/>
  <c r="B1101" i="1"/>
  <c r="E1101" i="1"/>
  <c r="H1101" i="1"/>
  <c r="I1101" i="1"/>
  <c r="A1134" i="1"/>
  <c r="B1134" i="1"/>
  <c r="E1134" i="1"/>
  <c r="H1134" i="1"/>
  <c r="I1134" i="1"/>
  <c r="A3428" i="1"/>
  <c r="B3428" i="1"/>
  <c r="E3428" i="1"/>
  <c r="H3428" i="1"/>
  <c r="I3428" i="1"/>
  <c r="A3423" i="1"/>
  <c r="B3423" i="1"/>
  <c r="E3423" i="1"/>
  <c r="H3423" i="1"/>
  <c r="I3423" i="1"/>
  <c r="A3435" i="1"/>
  <c r="B3435" i="1"/>
  <c r="E3435" i="1"/>
  <c r="H3435" i="1"/>
  <c r="I3435" i="1"/>
  <c r="A3440" i="1"/>
  <c r="B3440" i="1"/>
  <c r="E3440" i="1"/>
  <c r="H3440" i="1"/>
  <c r="I3440" i="1"/>
  <c r="A196" i="1"/>
  <c r="B196" i="1"/>
  <c r="E196" i="1"/>
  <c r="H196" i="1"/>
  <c r="I196" i="1"/>
  <c r="A206" i="1"/>
  <c r="B206" i="1"/>
  <c r="E206" i="1"/>
  <c r="H206" i="1"/>
  <c r="I206" i="1"/>
  <c r="A200" i="1"/>
  <c r="B200" i="1"/>
  <c r="E200" i="1"/>
  <c r="H200" i="1"/>
  <c r="I200" i="1"/>
  <c r="A198" i="1"/>
  <c r="B198" i="1"/>
  <c r="E198" i="1"/>
  <c r="H198" i="1"/>
  <c r="I198" i="1"/>
  <c r="A202" i="1"/>
  <c r="B202" i="1"/>
  <c r="E202" i="1"/>
  <c r="H202" i="1"/>
  <c r="I202" i="1"/>
  <c r="A192" i="1"/>
  <c r="B192" i="1"/>
  <c r="E192" i="1"/>
  <c r="H192" i="1"/>
  <c r="I192" i="1"/>
  <c r="A204" i="1"/>
  <c r="B204" i="1"/>
  <c r="E204" i="1"/>
  <c r="H204" i="1"/>
  <c r="I204" i="1"/>
  <c r="A194" i="1"/>
  <c r="B194" i="1"/>
  <c r="E194" i="1"/>
  <c r="H194" i="1"/>
  <c r="I194" i="1"/>
  <c r="A437" i="1"/>
  <c r="B437" i="1"/>
  <c r="E437" i="1"/>
  <c r="H437" i="1"/>
  <c r="I437" i="1"/>
  <c r="A444" i="1"/>
  <c r="B444" i="1"/>
  <c r="E444" i="1"/>
  <c r="H444" i="1"/>
  <c r="I444" i="1"/>
  <c r="A1002" i="1"/>
  <c r="B1002" i="1"/>
  <c r="E1002" i="1"/>
  <c r="H1002" i="1"/>
  <c r="I1002" i="1"/>
  <c r="A2110" i="1"/>
  <c r="B2110" i="1"/>
  <c r="E2110" i="1"/>
  <c r="H2110" i="1"/>
  <c r="I2110" i="1"/>
  <c r="A418" i="1"/>
  <c r="B418" i="1"/>
  <c r="E418" i="1"/>
  <c r="H418" i="1"/>
  <c r="I418" i="1"/>
  <c r="A1905" i="1"/>
  <c r="B1905" i="1"/>
  <c r="E1905" i="1"/>
  <c r="H1905" i="1"/>
  <c r="I1905" i="1"/>
  <c r="A3594" i="1"/>
  <c r="B3594" i="1"/>
  <c r="E3594" i="1"/>
  <c r="H3594" i="1"/>
  <c r="I3594" i="1"/>
  <c r="A3601" i="1"/>
  <c r="B3601" i="1"/>
  <c r="E3601" i="1"/>
  <c r="H3601" i="1"/>
  <c r="I3601" i="1"/>
  <c r="A3392" i="1"/>
  <c r="B3392" i="1"/>
  <c r="E3392" i="1"/>
  <c r="H3392" i="1"/>
  <c r="I3392" i="1"/>
  <c r="A3393" i="1"/>
  <c r="B3393" i="1"/>
  <c r="E3393" i="1"/>
  <c r="H3393" i="1"/>
  <c r="I3393" i="1"/>
  <c r="A3388" i="1"/>
  <c r="B3388" i="1"/>
  <c r="E3388" i="1"/>
  <c r="H3388" i="1"/>
  <c r="I3388" i="1"/>
  <c r="A3389" i="1"/>
  <c r="B3389" i="1"/>
  <c r="E3389" i="1"/>
  <c r="H3389" i="1"/>
  <c r="I3389" i="1"/>
  <c r="A3394" i="1"/>
  <c r="B3394" i="1"/>
  <c r="E3394" i="1"/>
  <c r="H3394" i="1"/>
  <c r="I3394" i="1"/>
  <c r="A3395" i="1"/>
  <c r="B3395" i="1"/>
  <c r="E3395" i="1"/>
  <c r="H3395" i="1"/>
  <c r="I3395" i="1"/>
  <c r="A3406" i="1"/>
  <c r="B3406" i="1"/>
  <c r="E3406" i="1"/>
  <c r="H3406" i="1"/>
  <c r="I3406" i="1"/>
  <c r="A3407" i="1"/>
  <c r="B3407" i="1"/>
  <c r="E3407" i="1"/>
  <c r="H3407" i="1"/>
  <c r="I3407" i="1"/>
  <c r="A3396" i="1"/>
  <c r="B3396" i="1"/>
  <c r="E3396" i="1"/>
  <c r="H3396" i="1"/>
  <c r="I3396" i="1"/>
  <c r="A3397" i="1"/>
  <c r="B3397" i="1"/>
  <c r="E3397" i="1"/>
  <c r="H3397" i="1"/>
  <c r="I3397" i="1"/>
  <c r="A3390" i="1"/>
  <c r="B3390" i="1"/>
  <c r="E3390" i="1"/>
  <c r="H3390" i="1"/>
  <c r="I3390" i="1"/>
  <c r="A3391" i="1"/>
  <c r="B3391" i="1"/>
  <c r="E3391" i="1"/>
  <c r="H3391" i="1"/>
  <c r="I3391" i="1"/>
  <c r="A3400" i="1"/>
  <c r="B3400" i="1"/>
  <c r="E3400" i="1"/>
  <c r="H3400" i="1"/>
  <c r="I3400" i="1"/>
  <c r="A3401" i="1"/>
  <c r="B3401" i="1"/>
  <c r="E3401" i="1"/>
  <c r="H3401" i="1"/>
  <c r="I3401" i="1"/>
  <c r="A3398" i="1"/>
  <c r="B3398" i="1"/>
  <c r="E3398" i="1"/>
  <c r="H3398" i="1"/>
  <c r="I3398" i="1"/>
  <c r="A3399" i="1"/>
  <c r="B3399" i="1"/>
  <c r="E3399" i="1"/>
  <c r="H3399" i="1"/>
  <c r="I3399" i="1"/>
  <c r="A3404" i="1"/>
  <c r="B3404" i="1"/>
  <c r="E3404" i="1"/>
  <c r="H3404" i="1"/>
  <c r="I3404" i="1"/>
  <c r="A3405" i="1"/>
  <c r="B3405" i="1"/>
  <c r="E3405" i="1"/>
  <c r="H3405" i="1"/>
  <c r="I3405" i="1"/>
  <c r="A3402" i="1"/>
  <c r="B3402" i="1"/>
  <c r="E3402" i="1"/>
  <c r="H3402" i="1"/>
  <c r="I3402" i="1"/>
  <c r="A3403" i="1"/>
  <c r="B3403" i="1"/>
  <c r="E3403" i="1"/>
  <c r="H3403" i="1"/>
  <c r="I3403" i="1"/>
  <c r="A1145" i="1"/>
  <c r="B1145" i="1"/>
  <c r="E1145" i="1"/>
  <c r="H1145" i="1"/>
  <c r="I1145" i="1"/>
  <c r="A2193" i="1"/>
  <c r="B2193" i="1"/>
  <c r="E2193" i="1"/>
  <c r="H2193" i="1"/>
  <c r="I2193" i="1"/>
  <c r="A2216" i="1"/>
  <c r="B2216" i="1"/>
  <c r="E2216" i="1"/>
  <c r="H2216" i="1"/>
  <c r="I2216" i="1"/>
  <c r="A990" i="1"/>
  <c r="B990" i="1"/>
  <c r="E990" i="1"/>
  <c r="H990" i="1"/>
  <c r="I990" i="1"/>
  <c r="A991" i="1"/>
  <c r="B991" i="1"/>
  <c r="E991" i="1"/>
  <c r="H991" i="1"/>
  <c r="I991" i="1"/>
  <c r="A985" i="1"/>
  <c r="B985" i="1"/>
  <c r="E985" i="1"/>
  <c r="H985" i="1"/>
  <c r="I985" i="1"/>
  <c r="A986" i="1"/>
  <c r="B986" i="1"/>
  <c r="E986" i="1"/>
  <c r="H986" i="1"/>
  <c r="I986" i="1"/>
  <c r="A979" i="1"/>
  <c r="B979" i="1"/>
  <c r="E979" i="1"/>
  <c r="H979" i="1"/>
  <c r="I979" i="1"/>
  <c r="A980" i="1"/>
  <c r="B980" i="1"/>
  <c r="E980" i="1"/>
  <c r="H980" i="1"/>
  <c r="I980" i="1"/>
  <c r="A975" i="1"/>
  <c r="B975" i="1"/>
  <c r="E975" i="1"/>
  <c r="H975" i="1"/>
  <c r="I975" i="1"/>
  <c r="A976" i="1"/>
  <c r="B976" i="1"/>
  <c r="E976" i="1"/>
  <c r="H976" i="1"/>
  <c r="I976" i="1"/>
  <c r="A981" i="1"/>
  <c r="B981" i="1"/>
  <c r="E981" i="1"/>
  <c r="H981" i="1"/>
  <c r="I981" i="1"/>
  <c r="A982" i="1"/>
  <c r="B982" i="1"/>
  <c r="E982" i="1"/>
  <c r="H982" i="1"/>
  <c r="I982" i="1"/>
  <c r="A983" i="1"/>
  <c r="B983" i="1"/>
  <c r="E983" i="1"/>
  <c r="H983" i="1"/>
  <c r="I983" i="1"/>
  <c r="A984" i="1"/>
  <c r="B984" i="1"/>
  <c r="E984" i="1"/>
  <c r="H984" i="1"/>
  <c r="I984" i="1"/>
  <c r="A992" i="1"/>
  <c r="B992" i="1"/>
  <c r="E992" i="1"/>
  <c r="H992" i="1"/>
  <c r="I992" i="1"/>
  <c r="A993" i="1"/>
  <c r="B993" i="1"/>
  <c r="E993" i="1"/>
  <c r="H993" i="1"/>
  <c r="I993" i="1"/>
  <c r="A977" i="1"/>
  <c r="B977" i="1"/>
  <c r="E977" i="1"/>
  <c r="H977" i="1"/>
  <c r="I977" i="1"/>
  <c r="A978" i="1"/>
  <c r="B978" i="1"/>
  <c r="E978" i="1"/>
  <c r="H978" i="1"/>
  <c r="I978" i="1"/>
  <c r="A987" i="1"/>
  <c r="B987" i="1"/>
  <c r="E987" i="1"/>
  <c r="H987" i="1"/>
  <c r="I987" i="1"/>
  <c r="A988" i="1"/>
  <c r="B988" i="1"/>
  <c r="E988" i="1"/>
  <c r="H988" i="1"/>
  <c r="I988" i="1"/>
  <c r="A973" i="1"/>
  <c r="B973" i="1"/>
  <c r="E973" i="1"/>
  <c r="H973" i="1"/>
  <c r="I973" i="1"/>
  <c r="A974" i="1"/>
  <c r="B974" i="1"/>
  <c r="E974" i="1"/>
  <c r="H974" i="1"/>
  <c r="I974" i="1"/>
  <c r="A994" i="1"/>
  <c r="B994" i="1"/>
  <c r="E994" i="1"/>
  <c r="H994" i="1"/>
  <c r="I994" i="1"/>
  <c r="A995" i="1"/>
  <c r="B995" i="1"/>
  <c r="E995" i="1"/>
  <c r="H995" i="1"/>
  <c r="I995" i="1"/>
  <c r="A2325" i="1"/>
  <c r="B2325" i="1"/>
  <c r="E2325" i="1"/>
  <c r="H2325" i="1"/>
  <c r="I2325" i="1"/>
  <c r="A346" i="1"/>
  <c r="B346" i="1"/>
  <c r="E346" i="1"/>
  <c r="H346" i="1"/>
  <c r="I346" i="1"/>
  <c r="A333" i="1"/>
  <c r="B333" i="1"/>
  <c r="E333" i="1"/>
  <c r="H333" i="1"/>
  <c r="I333" i="1"/>
  <c r="A287" i="1"/>
  <c r="B287" i="1"/>
  <c r="E287" i="1"/>
  <c r="H287" i="1"/>
  <c r="I287" i="1"/>
  <c r="A309" i="1"/>
  <c r="B309" i="1"/>
  <c r="E309" i="1"/>
  <c r="H309" i="1"/>
  <c r="I309" i="1"/>
  <c r="A291" i="1"/>
  <c r="B291" i="1"/>
  <c r="E291" i="1"/>
  <c r="H291" i="1"/>
  <c r="I291" i="1"/>
  <c r="A505" i="1"/>
  <c r="B505" i="1"/>
  <c r="E505" i="1"/>
  <c r="H505" i="1"/>
  <c r="I505" i="1"/>
  <c r="A516" i="1"/>
  <c r="B516" i="1"/>
  <c r="E516" i="1"/>
  <c r="H516" i="1"/>
  <c r="I516" i="1"/>
  <c r="A267" i="1"/>
  <c r="B267" i="1"/>
  <c r="E267" i="1"/>
  <c r="H267" i="1"/>
  <c r="I267" i="1"/>
  <c r="A1917" i="1"/>
  <c r="B1917" i="1"/>
  <c r="E1917" i="1"/>
  <c r="H1917" i="1"/>
  <c r="I1917" i="1"/>
  <c r="A519" i="1"/>
  <c r="B519" i="1"/>
  <c r="E519" i="1"/>
  <c r="H519" i="1"/>
  <c r="I519" i="1"/>
  <c r="A1858" i="1"/>
  <c r="B1858" i="1"/>
  <c r="E1858" i="1"/>
  <c r="H1858" i="1"/>
  <c r="I1858" i="1"/>
  <c r="A3424" i="1"/>
  <c r="B3424" i="1"/>
  <c r="E3424" i="1"/>
  <c r="H3424" i="1"/>
  <c r="I3424" i="1"/>
  <c r="A3348" i="1"/>
  <c r="B3348" i="1"/>
  <c r="E3348" i="1"/>
  <c r="H3348" i="1"/>
  <c r="I3348" i="1"/>
  <c r="A3373" i="1"/>
  <c r="B3373" i="1"/>
  <c r="E3373" i="1"/>
  <c r="H3373" i="1"/>
  <c r="I3373" i="1"/>
  <c r="A3361" i="1"/>
  <c r="B3361" i="1"/>
  <c r="E3361" i="1"/>
  <c r="H3361" i="1"/>
  <c r="I3361" i="1"/>
  <c r="A3369" i="1"/>
  <c r="B3369" i="1"/>
  <c r="E3369" i="1"/>
  <c r="H3369" i="1"/>
  <c r="I3369" i="1"/>
  <c r="A3363" i="1"/>
  <c r="B3363" i="1"/>
  <c r="E3363" i="1"/>
  <c r="H3363" i="1"/>
  <c r="I3363" i="1"/>
  <c r="A3365" i="1"/>
  <c r="B3365" i="1"/>
  <c r="E3365" i="1"/>
  <c r="H3365" i="1"/>
  <c r="I3365" i="1"/>
  <c r="A3382" i="1"/>
  <c r="B3382" i="1"/>
  <c r="E3382" i="1"/>
  <c r="H3382" i="1"/>
  <c r="I3382" i="1"/>
  <c r="A3377" i="1"/>
  <c r="B3377" i="1"/>
  <c r="E3377" i="1"/>
  <c r="H3377" i="1"/>
  <c r="I3377" i="1"/>
  <c r="A3386" i="1"/>
  <c r="B3386" i="1"/>
  <c r="E3386" i="1"/>
  <c r="H3386" i="1"/>
  <c r="I3386" i="1"/>
  <c r="A3371" i="1"/>
  <c r="B3371" i="1"/>
  <c r="E3371" i="1"/>
  <c r="H3371" i="1"/>
  <c r="I3371" i="1"/>
  <c r="A167" i="1"/>
  <c r="B167" i="1"/>
  <c r="E167" i="1"/>
  <c r="H167" i="1"/>
  <c r="I167" i="1"/>
  <c r="A769" i="1"/>
  <c r="B769" i="1"/>
  <c r="E769" i="1"/>
  <c r="H769" i="1"/>
  <c r="I769" i="1"/>
  <c r="A775" i="1"/>
  <c r="B775" i="1"/>
  <c r="E775" i="1"/>
  <c r="H775" i="1"/>
  <c r="I775" i="1"/>
  <c r="A461" i="1"/>
  <c r="B461" i="1"/>
  <c r="E461" i="1"/>
  <c r="H461" i="1"/>
  <c r="I461" i="1"/>
  <c r="A3301" i="1"/>
  <c r="B3301" i="1"/>
  <c r="E3301" i="1"/>
  <c r="H3301" i="1"/>
  <c r="I3301" i="1"/>
  <c r="A2459" i="1"/>
  <c r="B2459" i="1"/>
  <c r="E2459" i="1"/>
  <c r="H2459" i="1"/>
  <c r="I2459" i="1"/>
  <c r="A2487" i="1"/>
  <c r="B2487" i="1"/>
  <c r="E2487" i="1"/>
  <c r="H2487" i="1"/>
  <c r="I2487" i="1"/>
  <c r="A3220" i="1"/>
  <c r="B3220" i="1"/>
  <c r="E3220" i="1"/>
  <c r="H3220" i="1"/>
  <c r="I3220" i="1"/>
  <c r="A1137" i="1"/>
  <c r="B1137" i="1"/>
  <c r="E1137" i="1"/>
  <c r="H1137" i="1"/>
  <c r="I1137" i="1"/>
  <c r="A1160" i="1"/>
  <c r="B1160" i="1"/>
  <c r="E1160" i="1"/>
  <c r="H1160" i="1"/>
  <c r="I1160" i="1"/>
  <c r="A2217" i="1"/>
  <c r="B2217" i="1"/>
  <c r="E2217" i="1"/>
  <c r="H2217" i="1"/>
  <c r="I2217" i="1"/>
  <c r="A433" i="1"/>
  <c r="B433" i="1"/>
  <c r="E433" i="1"/>
  <c r="H433" i="1"/>
  <c r="I433" i="1"/>
  <c r="A451" i="1"/>
  <c r="B451" i="1"/>
  <c r="E451" i="1"/>
  <c r="H451" i="1"/>
  <c r="I451" i="1"/>
  <c r="A1516" i="1"/>
  <c r="B1516" i="1"/>
  <c r="E1516" i="1"/>
  <c r="H1516" i="1"/>
  <c r="I1516" i="1"/>
  <c r="A1686" i="1"/>
  <c r="B1686" i="1"/>
  <c r="E1686" i="1"/>
  <c r="H1686" i="1"/>
  <c r="I1686" i="1"/>
  <c r="A1692" i="1"/>
  <c r="B1692" i="1"/>
  <c r="E1692" i="1"/>
  <c r="H1692" i="1"/>
  <c r="I1692" i="1"/>
  <c r="A1704" i="1"/>
  <c r="B1704" i="1"/>
  <c r="E1704" i="1"/>
  <c r="H1704" i="1"/>
  <c r="I1704" i="1"/>
  <c r="A1412" i="1"/>
  <c r="B1412" i="1"/>
  <c r="E1412" i="1"/>
  <c r="H1412" i="1"/>
  <c r="I1412" i="1"/>
  <c r="A1346" i="1"/>
  <c r="B1346" i="1"/>
  <c r="E1346" i="1"/>
  <c r="H1346" i="1"/>
  <c r="I1346" i="1"/>
  <c r="A1396" i="1"/>
  <c r="B1396" i="1"/>
  <c r="E1396" i="1"/>
  <c r="H1396" i="1"/>
  <c r="I1396" i="1"/>
  <c r="A1328" i="1"/>
  <c r="B1328" i="1"/>
  <c r="E1328" i="1"/>
  <c r="H1328" i="1"/>
  <c r="I1328" i="1"/>
  <c r="A1389" i="1"/>
  <c r="B1389" i="1"/>
  <c r="E1389" i="1"/>
  <c r="H1389" i="1"/>
  <c r="I1389" i="1"/>
  <c r="A2631" i="1"/>
  <c r="B2631" i="1"/>
  <c r="E2631" i="1"/>
  <c r="H2631" i="1"/>
  <c r="I2631" i="1"/>
  <c r="A2656" i="1"/>
  <c r="B2656" i="1"/>
  <c r="E2656" i="1"/>
  <c r="H2656" i="1"/>
  <c r="I2656" i="1"/>
  <c r="A2651" i="1"/>
  <c r="B2651" i="1"/>
  <c r="E2651" i="1"/>
  <c r="H2651" i="1"/>
  <c r="I2651" i="1"/>
  <c r="A2779" i="1"/>
  <c r="B2779" i="1"/>
  <c r="E2779" i="1"/>
  <c r="H2779" i="1"/>
  <c r="I2779" i="1"/>
  <c r="A1422" i="1"/>
  <c r="B1422" i="1"/>
  <c r="E1422" i="1"/>
  <c r="H1422" i="1"/>
  <c r="I1422" i="1"/>
  <c r="A1414" i="1"/>
  <c r="B1414" i="1"/>
  <c r="E1414" i="1"/>
  <c r="H1414" i="1"/>
  <c r="I1414" i="1"/>
  <c r="A1415" i="1"/>
  <c r="B1415" i="1"/>
  <c r="E1415" i="1"/>
  <c r="H1415" i="1"/>
  <c r="I1415" i="1"/>
  <c r="A1418" i="1"/>
  <c r="B1418" i="1"/>
  <c r="E1418" i="1"/>
  <c r="H1418" i="1"/>
  <c r="I1418" i="1"/>
  <c r="A1419" i="1"/>
  <c r="B1419" i="1"/>
  <c r="E1419" i="1"/>
  <c r="H1419" i="1"/>
  <c r="I1419" i="1"/>
  <c r="A1416" i="1"/>
  <c r="B1416" i="1"/>
  <c r="E1416" i="1"/>
  <c r="H1416" i="1"/>
  <c r="I1416" i="1"/>
  <c r="A1417" i="1"/>
  <c r="B1417" i="1"/>
  <c r="E1417" i="1"/>
  <c r="H1417" i="1"/>
  <c r="I1417" i="1"/>
  <c r="A1430" i="1"/>
  <c r="B1430" i="1"/>
  <c r="E1430" i="1"/>
  <c r="H1430" i="1"/>
  <c r="I1430" i="1"/>
  <c r="A1431" i="1"/>
  <c r="B1431" i="1"/>
  <c r="E1431" i="1"/>
  <c r="H1431" i="1"/>
  <c r="I1431" i="1"/>
  <c r="A1428" i="1"/>
  <c r="B1428" i="1"/>
  <c r="E1428" i="1"/>
  <c r="H1428" i="1"/>
  <c r="I1428" i="1"/>
  <c r="A1429" i="1"/>
  <c r="B1429" i="1"/>
  <c r="E1429" i="1"/>
  <c r="H1429" i="1"/>
  <c r="I1429" i="1"/>
  <c r="A1426" i="1"/>
  <c r="B1426" i="1"/>
  <c r="E1426" i="1"/>
  <c r="H1426" i="1"/>
  <c r="I1426" i="1"/>
  <c r="A1427" i="1"/>
  <c r="B1427" i="1"/>
  <c r="E1427" i="1"/>
  <c r="H1427" i="1"/>
  <c r="I1427" i="1"/>
  <c r="A1424" i="1"/>
  <c r="B1424" i="1"/>
  <c r="E1424" i="1"/>
  <c r="H1424" i="1"/>
  <c r="I1424" i="1"/>
  <c r="A1425" i="1"/>
  <c r="B1425" i="1"/>
  <c r="E1425" i="1"/>
  <c r="H1425" i="1"/>
  <c r="I1425" i="1"/>
  <c r="A1420" i="1"/>
  <c r="B1420" i="1"/>
  <c r="E1420" i="1"/>
  <c r="H1420" i="1"/>
  <c r="I1420" i="1"/>
  <c r="A1421" i="1"/>
  <c r="B1421" i="1"/>
  <c r="E1421" i="1"/>
  <c r="H1421" i="1"/>
  <c r="I1421" i="1"/>
  <c r="A1423" i="1"/>
  <c r="B1423" i="1"/>
  <c r="E1423" i="1"/>
  <c r="H1423" i="1"/>
  <c r="I1423" i="1"/>
  <c r="A543" i="1"/>
  <c r="B543" i="1"/>
  <c r="E543" i="1"/>
  <c r="H543" i="1"/>
  <c r="I543" i="1"/>
  <c r="A1184" i="1"/>
  <c r="B1184" i="1"/>
  <c r="E1184" i="1"/>
  <c r="H1184" i="1"/>
  <c r="I1184" i="1"/>
  <c r="A1211" i="1"/>
  <c r="B1211" i="1"/>
  <c r="E1211" i="1"/>
  <c r="H1211" i="1"/>
  <c r="I1211" i="1"/>
  <c r="A175" i="1"/>
  <c r="B175" i="1"/>
  <c r="E175" i="1"/>
  <c r="H175" i="1"/>
  <c r="I175" i="1"/>
  <c r="A273" i="1"/>
  <c r="B273" i="1"/>
  <c r="E273" i="1"/>
  <c r="H273" i="1"/>
  <c r="I273" i="1"/>
  <c r="A730" i="1"/>
  <c r="B730" i="1"/>
  <c r="E730" i="1"/>
  <c r="H730" i="1"/>
  <c r="I730" i="1"/>
  <c r="A764" i="1"/>
  <c r="B764" i="1"/>
  <c r="E764" i="1"/>
  <c r="H764" i="1"/>
  <c r="I764" i="1"/>
  <c r="A784" i="1"/>
  <c r="B784" i="1"/>
  <c r="E784" i="1"/>
  <c r="H784" i="1"/>
  <c r="I784" i="1"/>
  <c r="A2347" i="1"/>
  <c r="B2347" i="1"/>
  <c r="E2347" i="1"/>
  <c r="H2347" i="1"/>
  <c r="I2347" i="1"/>
  <c r="A2348" i="1"/>
  <c r="B2348" i="1"/>
  <c r="E2348" i="1"/>
  <c r="H2348" i="1"/>
  <c r="I2348" i="1"/>
  <c r="A2405" i="1"/>
  <c r="B2405" i="1"/>
  <c r="E2405" i="1"/>
  <c r="H2405" i="1"/>
  <c r="I2405" i="1"/>
  <c r="A2384" i="1"/>
  <c r="B2384" i="1"/>
  <c r="E2384" i="1"/>
  <c r="H2384" i="1"/>
  <c r="I2384" i="1"/>
  <c r="A2385" i="1"/>
  <c r="B2385" i="1"/>
  <c r="E2385" i="1"/>
  <c r="H2385" i="1"/>
  <c r="I2385" i="1"/>
  <c r="A2386" i="1"/>
  <c r="B2386" i="1"/>
  <c r="E2386" i="1"/>
  <c r="H2386" i="1"/>
  <c r="I2386" i="1"/>
  <c r="A2375" i="1"/>
  <c r="B2375" i="1"/>
  <c r="E2375" i="1"/>
  <c r="H2375" i="1"/>
  <c r="I2375" i="1"/>
  <c r="A2376" i="1"/>
  <c r="B2376" i="1"/>
  <c r="E2376" i="1"/>
  <c r="H2376" i="1"/>
  <c r="I2376" i="1"/>
  <c r="A2394" i="1"/>
  <c r="B2394" i="1"/>
  <c r="E2394" i="1"/>
  <c r="H2394" i="1"/>
  <c r="I2394" i="1"/>
  <c r="A2395" i="1"/>
  <c r="B2395" i="1"/>
  <c r="E2395" i="1"/>
  <c r="H2395" i="1"/>
  <c r="I2395" i="1"/>
  <c r="A2408" i="1"/>
  <c r="B2408" i="1"/>
  <c r="E2408" i="1"/>
  <c r="H2408" i="1"/>
  <c r="I2408" i="1"/>
  <c r="A2409" i="1"/>
  <c r="B2409" i="1"/>
  <c r="E2409" i="1"/>
  <c r="H2409" i="1"/>
  <c r="I2409" i="1"/>
  <c r="A2410" i="1"/>
  <c r="B2410" i="1"/>
  <c r="E2410" i="1"/>
  <c r="H2410" i="1"/>
  <c r="I2410" i="1"/>
  <c r="A2353" i="1"/>
  <c r="B2353" i="1"/>
  <c r="E2353" i="1"/>
  <c r="H2353" i="1"/>
  <c r="I2353" i="1"/>
  <c r="A2354" i="1"/>
  <c r="B2354" i="1"/>
  <c r="E2354" i="1"/>
  <c r="H2354" i="1"/>
  <c r="I2354" i="1"/>
  <c r="A2355" i="1"/>
  <c r="B2355" i="1"/>
  <c r="E2355" i="1"/>
  <c r="H2355" i="1"/>
  <c r="I2355" i="1"/>
  <c r="A2366" i="1"/>
  <c r="B2366" i="1"/>
  <c r="E2366" i="1"/>
  <c r="H2366" i="1"/>
  <c r="I2366" i="1"/>
  <c r="A2367" i="1"/>
  <c r="B2367" i="1"/>
  <c r="E2367" i="1"/>
  <c r="H2367" i="1"/>
  <c r="I2367" i="1"/>
  <c r="A2804" i="1"/>
  <c r="B2804" i="1"/>
  <c r="E2804" i="1"/>
  <c r="H2804" i="1"/>
  <c r="I2804" i="1"/>
  <c r="A2792" i="1"/>
  <c r="B2792" i="1"/>
  <c r="E2792" i="1"/>
  <c r="H2792" i="1"/>
  <c r="I2792" i="1"/>
  <c r="A2793" i="1"/>
  <c r="B2793" i="1"/>
  <c r="E2793" i="1"/>
  <c r="H2793" i="1"/>
  <c r="I2793" i="1"/>
  <c r="A2796" i="1"/>
  <c r="B2796" i="1"/>
  <c r="E2796" i="1"/>
  <c r="H2796" i="1"/>
  <c r="I2796" i="1"/>
  <c r="A2791" i="1"/>
  <c r="B2791" i="1"/>
  <c r="E2791" i="1"/>
  <c r="H2791" i="1"/>
  <c r="I2791" i="1"/>
  <c r="A2788" i="1"/>
  <c r="B2788" i="1"/>
  <c r="E2788" i="1"/>
  <c r="H2788" i="1"/>
  <c r="I2788" i="1"/>
  <c r="A2790" i="1"/>
  <c r="B2790" i="1"/>
  <c r="E2790" i="1"/>
  <c r="H2790" i="1"/>
  <c r="I2790" i="1"/>
  <c r="A2797" i="1"/>
  <c r="B2797" i="1"/>
  <c r="E2797" i="1"/>
  <c r="H2797" i="1"/>
  <c r="I2797" i="1"/>
  <c r="A2789" i="1"/>
  <c r="B2789" i="1"/>
  <c r="E2789" i="1"/>
  <c r="H2789" i="1"/>
  <c r="I2789" i="1"/>
  <c r="A2799" i="1"/>
  <c r="B2799" i="1"/>
  <c r="E2799" i="1"/>
  <c r="H2799" i="1"/>
  <c r="I2799" i="1"/>
  <c r="A2794" i="1"/>
  <c r="B2794" i="1"/>
  <c r="E2794" i="1"/>
  <c r="H2794" i="1"/>
  <c r="I2794" i="1"/>
  <c r="A2795" i="1"/>
  <c r="B2795" i="1"/>
  <c r="E2795" i="1"/>
  <c r="H2795" i="1"/>
  <c r="I2795" i="1"/>
  <c r="A2798" i="1"/>
  <c r="B2798" i="1"/>
  <c r="E2798" i="1"/>
  <c r="H2798" i="1"/>
  <c r="I2798" i="1"/>
  <c r="A2800" i="1"/>
  <c r="B2800" i="1"/>
  <c r="E2800" i="1"/>
  <c r="H2800" i="1"/>
  <c r="I2800" i="1"/>
  <c r="A2801" i="1"/>
  <c r="B2801" i="1"/>
  <c r="E2801" i="1"/>
  <c r="H2801" i="1"/>
  <c r="I2801" i="1"/>
  <c r="A2802" i="1"/>
  <c r="B2802" i="1"/>
  <c r="E2802" i="1"/>
  <c r="H2802" i="1"/>
  <c r="I2802" i="1"/>
  <c r="A2803" i="1"/>
  <c r="B2803" i="1"/>
  <c r="E2803" i="1"/>
  <c r="H2803" i="1"/>
  <c r="I2803" i="1"/>
  <c r="A3508" i="1"/>
  <c r="B3508" i="1"/>
  <c r="E3508" i="1"/>
  <c r="H3508" i="1"/>
  <c r="I3508" i="1"/>
  <c r="A3509" i="1"/>
  <c r="B3509" i="1"/>
  <c r="E3509" i="1"/>
  <c r="H3509" i="1"/>
  <c r="I3509" i="1"/>
  <c r="A3504" i="1"/>
  <c r="B3504" i="1"/>
  <c r="E3504" i="1"/>
  <c r="H3504" i="1"/>
  <c r="I3504" i="1"/>
  <c r="A3505" i="1"/>
  <c r="B3505" i="1"/>
  <c r="E3505" i="1"/>
  <c r="H3505" i="1"/>
  <c r="I3505" i="1"/>
  <c r="A3503" i="1"/>
  <c r="B3503" i="1"/>
  <c r="E3503" i="1"/>
  <c r="H3503" i="1"/>
  <c r="I3503" i="1"/>
  <c r="A1019" i="1"/>
  <c r="B1019" i="1"/>
  <c r="E1019" i="1"/>
  <c r="H1019" i="1"/>
  <c r="I1019" i="1"/>
  <c r="A1060" i="1"/>
  <c r="B1060" i="1"/>
  <c r="E1060" i="1"/>
  <c r="H1060" i="1"/>
  <c r="I1060" i="1"/>
  <c r="A1117" i="1"/>
  <c r="B1117" i="1"/>
  <c r="E1117" i="1"/>
  <c r="H1117" i="1"/>
  <c r="I1117" i="1"/>
  <c r="A1125" i="1"/>
  <c r="B1125" i="1"/>
  <c r="E1125" i="1"/>
  <c r="H1125" i="1"/>
  <c r="I1125" i="1"/>
  <c r="A1109" i="1"/>
  <c r="B1109" i="1"/>
  <c r="E1109" i="1"/>
  <c r="H1109" i="1"/>
  <c r="I1109" i="1"/>
  <c r="A998" i="1"/>
  <c r="B998" i="1"/>
  <c r="E998" i="1"/>
  <c r="H998" i="1"/>
  <c r="I998" i="1"/>
  <c r="A1029" i="1"/>
  <c r="B1029" i="1"/>
  <c r="E1029" i="1"/>
  <c r="H1029" i="1"/>
  <c r="I1029" i="1"/>
  <c r="A1153" i="1"/>
  <c r="B1153" i="1"/>
  <c r="E1153" i="1"/>
  <c r="H1153" i="1"/>
  <c r="I1153" i="1"/>
  <c r="A1065" i="1"/>
  <c r="B1065" i="1"/>
  <c r="E1065" i="1"/>
  <c r="H1065" i="1"/>
  <c r="I1065" i="1"/>
  <c r="A1129" i="1"/>
  <c r="B1129" i="1"/>
  <c r="E1129" i="1"/>
  <c r="H1129" i="1"/>
  <c r="I1129" i="1"/>
  <c r="A1068" i="1"/>
  <c r="B1068" i="1"/>
  <c r="E1068" i="1"/>
  <c r="H1068" i="1"/>
  <c r="I1068" i="1"/>
  <c r="A1003" i="1"/>
  <c r="B1003" i="1"/>
  <c r="E1003" i="1"/>
  <c r="H1003" i="1"/>
  <c r="I1003" i="1"/>
  <c r="A966" i="1"/>
  <c r="B966" i="1"/>
  <c r="E966" i="1"/>
  <c r="H966" i="1"/>
  <c r="I966" i="1"/>
  <c r="A960" i="1"/>
  <c r="B960" i="1"/>
  <c r="E960" i="1"/>
  <c r="H960" i="1"/>
  <c r="I960" i="1"/>
  <c r="A940" i="1"/>
  <c r="B940" i="1"/>
  <c r="E940" i="1"/>
  <c r="H940" i="1"/>
  <c r="I940" i="1"/>
  <c r="A926" i="1"/>
  <c r="B926" i="1"/>
  <c r="E926" i="1"/>
  <c r="H926" i="1"/>
  <c r="I926" i="1"/>
  <c r="A958" i="1"/>
  <c r="B958" i="1"/>
  <c r="E958" i="1"/>
  <c r="H958" i="1"/>
  <c r="I958" i="1"/>
  <c r="A946" i="1"/>
  <c r="B946" i="1"/>
  <c r="E946" i="1"/>
  <c r="H946" i="1"/>
  <c r="I946" i="1"/>
  <c r="A970" i="1"/>
  <c r="B970" i="1"/>
  <c r="E970" i="1"/>
  <c r="H970" i="1"/>
  <c r="I970" i="1"/>
  <c r="A972" i="1"/>
  <c r="B972" i="1"/>
  <c r="E972" i="1"/>
  <c r="H972" i="1"/>
  <c r="I972" i="1"/>
  <c r="A1010" i="1"/>
  <c r="B1010" i="1"/>
  <c r="E1010" i="1"/>
  <c r="H1010" i="1"/>
  <c r="I1010" i="1"/>
  <c r="A1014" i="1"/>
  <c r="B1014" i="1"/>
  <c r="E1014" i="1"/>
  <c r="H1014" i="1"/>
  <c r="I1014" i="1"/>
  <c r="A1023" i="1"/>
  <c r="B1023" i="1"/>
  <c r="E1023" i="1"/>
  <c r="H1023" i="1"/>
  <c r="I1023" i="1"/>
  <c r="A1141" i="1"/>
  <c r="B1141" i="1"/>
  <c r="E1141" i="1"/>
  <c r="H1141" i="1"/>
  <c r="I1141" i="1"/>
  <c r="A1011" i="1"/>
  <c r="B1011" i="1"/>
  <c r="E1011" i="1"/>
  <c r="H1011" i="1"/>
  <c r="I1011" i="1"/>
  <c r="A1138" i="1"/>
  <c r="B1138" i="1"/>
  <c r="E1138" i="1"/>
  <c r="H1138" i="1"/>
  <c r="I1138" i="1"/>
  <c r="A1146" i="1"/>
  <c r="B1146" i="1"/>
  <c r="E1146" i="1"/>
  <c r="H1146" i="1"/>
  <c r="I1146" i="1"/>
  <c r="A1077" i="1"/>
  <c r="B1077" i="1"/>
  <c r="E1077" i="1"/>
  <c r="H1077" i="1"/>
  <c r="I1077" i="1"/>
  <c r="A1105" i="1"/>
  <c r="B1105" i="1"/>
  <c r="E1105" i="1"/>
  <c r="H1105" i="1"/>
  <c r="I1105" i="1"/>
  <c r="A1094" i="1"/>
  <c r="B1094" i="1"/>
  <c r="E1094" i="1"/>
  <c r="H1094" i="1"/>
  <c r="I1094" i="1"/>
  <c r="A1113" i="1"/>
  <c r="B1113" i="1"/>
  <c r="E1113" i="1"/>
  <c r="H1113" i="1"/>
  <c r="I1113" i="1"/>
  <c r="A1051" i="1"/>
  <c r="B1051" i="1"/>
  <c r="E1051" i="1"/>
  <c r="H1051" i="1"/>
  <c r="I1051" i="1"/>
  <c r="A1052" i="1"/>
  <c r="B1052" i="1"/>
  <c r="E1052" i="1"/>
  <c r="H1052" i="1"/>
  <c r="I1052" i="1"/>
  <c r="A1131" i="1"/>
  <c r="B1131" i="1"/>
  <c r="E1131" i="1"/>
  <c r="H1131" i="1"/>
  <c r="I1131" i="1"/>
  <c r="A1053" i="1"/>
  <c r="B1053" i="1"/>
  <c r="E1053" i="1"/>
  <c r="H1053" i="1"/>
  <c r="I1053" i="1"/>
  <c r="A1054" i="1"/>
  <c r="B1054" i="1"/>
  <c r="E1054" i="1"/>
  <c r="H1054" i="1"/>
  <c r="I1054" i="1"/>
  <c r="A1121" i="1"/>
  <c r="B1121" i="1"/>
  <c r="E1121" i="1"/>
  <c r="H1121" i="1"/>
  <c r="I1121" i="1"/>
  <c r="A1055" i="1"/>
  <c r="B1055" i="1"/>
  <c r="E1055" i="1"/>
  <c r="H1055" i="1"/>
  <c r="I1055" i="1"/>
  <c r="A1095" i="1"/>
  <c r="B1095" i="1"/>
  <c r="E1095" i="1"/>
  <c r="H1095" i="1"/>
  <c r="I1095" i="1"/>
  <c r="A1056" i="1"/>
  <c r="B1056" i="1"/>
  <c r="E1056" i="1"/>
  <c r="H1056" i="1"/>
  <c r="I1056" i="1"/>
  <c r="A1154" i="1"/>
  <c r="B1154" i="1"/>
  <c r="E1154" i="1"/>
  <c r="H1154" i="1"/>
  <c r="I1154" i="1"/>
  <c r="A1155" i="1"/>
  <c r="B1155" i="1"/>
  <c r="E1155" i="1"/>
  <c r="H1155" i="1"/>
  <c r="I1155" i="1"/>
  <c r="A1161" i="1"/>
  <c r="B1161" i="1"/>
  <c r="E1161" i="1"/>
  <c r="H1161" i="1"/>
  <c r="I1161" i="1"/>
  <c r="A1156" i="1"/>
  <c r="B1156" i="1"/>
  <c r="E1156" i="1"/>
  <c r="H1156" i="1"/>
  <c r="I1156" i="1"/>
  <c r="A1176" i="1"/>
  <c r="B1176" i="1"/>
  <c r="E1176" i="1"/>
  <c r="H1176" i="1"/>
  <c r="I1176" i="1"/>
  <c r="A1185" i="1"/>
  <c r="B1185" i="1"/>
  <c r="E1185" i="1"/>
  <c r="H1185" i="1"/>
  <c r="I1185" i="1"/>
  <c r="A1164" i="1"/>
  <c r="B1164" i="1"/>
  <c r="E1164" i="1"/>
  <c r="H1164" i="1"/>
  <c r="I1164" i="1"/>
  <c r="A1195" i="1"/>
  <c r="B1195" i="1"/>
  <c r="E1195" i="1"/>
  <c r="H1195" i="1"/>
  <c r="I1195" i="1"/>
  <c r="A1188" i="1"/>
  <c r="B1188" i="1"/>
  <c r="E1188" i="1"/>
  <c r="H1188" i="1"/>
  <c r="I1188" i="1"/>
  <c r="A1201" i="1"/>
  <c r="B1201" i="1"/>
  <c r="E1201" i="1"/>
  <c r="H1201" i="1"/>
  <c r="I1201" i="1"/>
  <c r="A1166" i="1"/>
  <c r="B1166" i="1"/>
  <c r="E1166" i="1"/>
  <c r="H1166" i="1"/>
  <c r="I1166" i="1"/>
  <c r="A1197" i="1"/>
  <c r="B1197" i="1"/>
  <c r="E1197" i="1"/>
  <c r="H1197" i="1"/>
  <c r="I1197" i="1"/>
  <c r="A1180" i="1"/>
  <c r="B1180" i="1"/>
  <c r="E1180" i="1"/>
  <c r="H1180" i="1"/>
  <c r="I1180" i="1"/>
  <c r="A1204" i="1"/>
  <c r="B1204" i="1"/>
  <c r="E1204" i="1"/>
  <c r="H1204" i="1"/>
  <c r="I1204" i="1"/>
  <c r="A1173" i="1"/>
  <c r="B1173" i="1"/>
  <c r="E1173" i="1"/>
  <c r="H1173" i="1"/>
  <c r="I1173" i="1"/>
  <c r="A1193" i="1"/>
  <c r="B1193" i="1"/>
  <c r="E1193" i="1"/>
  <c r="H1193" i="1"/>
  <c r="I1193" i="1"/>
  <c r="A1167" i="1"/>
  <c r="B1167" i="1"/>
  <c r="E1167" i="1"/>
  <c r="H1167" i="1"/>
  <c r="I1167" i="1"/>
  <c r="A1187" i="1"/>
  <c r="B1187" i="1"/>
  <c r="E1187" i="1"/>
  <c r="H1187" i="1"/>
  <c r="I1187" i="1"/>
  <c r="A1169" i="1"/>
  <c r="B1169" i="1"/>
  <c r="E1169" i="1"/>
  <c r="H1169" i="1"/>
  <c r="I1169" i="1"/>
  <c r="A1190" i="1"/>
  <c r="B1190" i="1"/>
  <c r="E1190" i="1"/>
  <c r="H1190" i="1"/>
  <c r="I1190" i="1"/>
  <c r="A1170" i="1"/>
  <c r="B1170" i="1"/>
  <c r="E1170" i="1"/>
  <c r="H1170" i="1"/>
  <c r="I1170" i="1"/>
  <c r="A1177" i="1"/>
  <c r="B1177" i="1"/>
  <c r="E1177" i="1"/>
  <c r="H1177" i="1"/>
  <c r="I1177" i="1"/>
  <c r="A1183" i="1"/>
  <c r="B1183" i="1"/>
  <c r="E1183" i="1"/>
  <c r="H1183" i="1"/>
  <c r="I1183" i="1"/>
  <c r="A1165" i="1"/>
  <c r="B1165" i="1"/>
  <c r="E1165" i="1"/>
  <c r="H1165" i="1"/>
  <c r="I1165" i="1"/>
  <c r="A1192" i="1"/>
  <c r="B1192" i="1"/>
  <c r="E1192" i="1"/>
  <c r="H1192" i="1"/>
  <c r="I1192" i="1"/>
  <c r="A1200" i="1"/>
  <c r="B1200" i="1"/>
  <c r="E1200" i="1"/>
  <c r="H1200" i="1"/>
  <c r="I1200" i="1"/>
  <c r="A1207" i="1"/>
  <c r="B1207" i="1"/>
  <c r="E1207" i="1"/>
  <c r="H1207" i="1"/>
  <c r="I1207" i="1"/>
  <c r="A1174" i="1"/>
  <c r="B1174" i="1"/>
  <c r="E1174" i="1"/>
  <c r="H1174" i="1"/>
  <c r="I1174" i="1"/>
  <c r="A1199" i="1"/>
  <c r="B1199" i="1"/>
  <c r="E1199" i="1"/>
  <c r="H1199" i="1"/>
  <c r="I1199" i="1"/>
  <c r="A1181" i="1"/>
  <c r="B1181" i="1"/>
  <c r="E1181" i="1"/>
  <c r="H1181" i="1"/>
  <c r="I1181" i="1"/>
  <c r="A1205" i="1"/>
  <c r="B1205" i="1"/>
  <c r="E1205" i="1"/>
  <c r="H1205" i="1"/>
  <c r="I1205" i="1"/>
  <c r="A1208" i="1"/>
  <c r="B1208" i="1"/>
  <c r="E1208" i="1"/>
  <c r="H1208" i="1"/>
  <c r="I1208" i="1"/>
  <c r="A1209" i="1"/>
  <c r="B1209" i="1"/>
  <c r="E1209" i="1"/>
  <c r="H1209" i="1"/>
  <c r="I1209" i="1"/>
  <c r="A1210" i="1"/>
  <c r="B1210" i="1"/>
  <c r="E1210" i="1"/>
  <c r="H1210" i="1"/>
  <c r="I1210" i="1"/>
  <c r="A1539" i="1"/>
  <c r="B1539" i="1"/>
  <c r="E1539" i="1"/>
  <c r="H1539" i="1"/>
  <c r="I1539" i="1"/>
  <c r="A1548" i="1"/>
  <c r="B1548" i="1"/>
  <c r="E1548" i="1"/>
  <c r="H1548" i="1"/>
  <c r="I1548" i="1"/>
  <c r="A1537" i="1"/>
  <c r="B1537" i="1"/>
  <c r="E1537" i="1"/>
  <c r="H1537" i="1"/>
  <c r="I1537" i="1"/>
  <c r="A1538" i="1"/>
  <c r="B1538" i="1"/>
  <c r="E1538" i="1"/>
  <c r="H1538" i="1"/>
  <c r="I1538" i="1"/>
  <c r="A1549" i="1"/>
  <c r="B1549" i="1"/>
  <c r="E1549" i="1"/>
  <c r="H1549" i="1"/>
  <c r="I1549" i="1"/>
  <c r="A1550" i="1"/>
  <c r="B1550" i="1"/>
  <c r="E1550" i="1"/>
  <c r="H1550" i="1"/>
  <c r="I1550" i="1"/>
  <c r="A1546" i="1"/>
  <c r="B1546" i="1"/>
  <c r="E1546" i="1"/>
  <c r="H1546" i="1"/>
  <c r="I1546" i="1"/>
  <c r="A1547" i="1"/>
  <c r="B1547" i="1"/>
  <c r="E1547" i="1"/>
  <c r="H1547" i="1"/>
  <c r="I1547" i="1"/>
  <c r="A1551" i="1"/>
  <c r="B1551" i="1"/>
  <c r="E1551" i="1"/>
  <c r="H1551" i="1"/>
  <c r="I1551" i="1"/>
  <c r="A1552" i="1"/>
  <c r="B1552" i="1"/>
  <c r="E1552" i="1"/>
  <c r="H1552" i="1"/>
  <c r="I1552" i="1"/>
  <c r="A1553" i="1"/>
  <c r="B1553" i="1"/>
  <c r="E1553" i="1"/>
  <c r="H1553" i="1"/>
  <c r="I1553" i="1"/>
  <c r="A1554" i="1"/>
  <c r="B1554" i="1"/>
  <c r="E1554" i="1"/>
  <c r="H1554" i="1"/>
  <c r="I1554" i="1"/>
  <c r="A1540" i="1"/>
  <c r="B1540" i="1"/>
  <c r="E1540" i="1"/>
  <c r="H1540" i="1"/>
  <c r="I1540" i="1"/>
  <c r="A1541" i="1"/>
  <c r="B1541" i="1"/>
  <c r="E1541" i="1"/>
  <c r="H1541" i="1"/>
  <c r="I1541" i="1"/>
  <c r="A1557" i="1"/>
  <c r="B1557" i="1"/>
  <c r="E1557" i="1"/>
  <c r="H1557" i="1"/>
  <c r="I1557" i="1"/>
  <c r="A1558" i="1"/>
  <c r="B1558" i="1"/>
  <c r="E1558" i="1"/>
  <c r="H1558" i="1"/>
  <c r="I1558" i="1"/>
  <c r="A1555" i="1"/>
  <c r="B1555" i="1"/>
  <c r="E1555" i="1"/>
  <c r="H1555" i="1"/>
  <c r="I1555" i="1"/>
  <c r="A1556" i="1"/>
  <c r="B1556" i="1"/>
  <c r="E1556" i="1"/>
  <c r="H1556" i="1"/>
  <c r="I1556" i="1"/>
  <c r="A1544" i="1"/>
  <c r="B1544" i="1"/>
  <c r="E1544" i="1"/>
  <c r="H1544" i="1"/>
  <c r="I1544" i="1"/>
  <c r="A1545" i="1"/>
  <c r="B1545" i="1"/>
  <c r="E1545" i="1"/>
  <c r="H1545" i="1"/>
  <c r="I1545" i="1"/>
  <c r="A1542" i="1"/>
  <c r="B1542" i="1"/>
  <c r="E1542" i="1"/>
  <c r="H1542" i="1"/>
  <c r="I1542" i="1"/>
  <c r="A1543" i="1"/>
  <c r="B1543" i="1"/>
  <c r="E1543" i="1"/>
  <c r="H1543" i="1"/>
  <c r="I1543" i="1"/>
  <c r="A2011" i="1"/>
  <c r="B2011" i="1"/>
  <c r="E2011" i="1"/>
  <c r="H2011" i="1"/>
  <c r="I2011" i="1"/>
  <c r="A2012" i="1"/>
  <c r="B2012" i="1"/>
  <c r="E2012" i="1"/>
  <c r="H2012" i="1"/>
  <c r="I2012" i="1"/>
  <c r="A2023" i="1"/>
  <c r="B2023" i="1"/>
  <c r="E2023" i="1"/>
  <c r="H2023" i="1"/>
  <c r="I2023" i="1"/>
  <c r="A2024" i="1"/>
  <c r="B2024" i="1"/>
  <c r="E2024" i="1"/>
  <c r="H2024" i="1"/>
  <c r="I2024" i="1"/>
  <c r="A2054" i="1"/>
  <c r="B2054" i="1"/>
  <c r="E2054" i="1"/>
  <c r="H2054" i="1"/>
  <c r="I2054" i="1"/>
  <c r="A2055" i="1"/>
  <c r="B2055" i="1"/>
  <c r="E2055" i="1"/>
  <c r="H2055" i="1"/>
  <c r="I2055" i="1"/>
  <c r="A2013" i="1"/>
  <c r="B2013" i="1"/>
  <c r="E2013" i="1"/>
  <c r="H2013" i="1"/>
  <c r="I2013" i="1"/>
  <c r="A2014" i="1"/>
  <c r="B2014" i="1"/>
  <c r="E2014" i="1"/>
  <c r="H2014" i="1"/>
  <c r="I2014" i="1"/>
  <c r="A2066" i="1"/>
  <c r="B2066" i="1"/>
  <c r="E2066" i="1"/>
  <c r="H2066" i="1"/>
  <c r="I2066" i="1"/>
  <c r="A2067" i="1"/>
  <c r="B2067" i="1"/>
  <c r="E2067" i="1"/>
  <c r="H2067" i="1"/>
  <c r="I2067" i="1"/>
  <c r="A2068" i="1"/>
  <c r="B2068" i="1"/>
  <c r="E2068" i="1"/>
  <c r="H2068" i="1"/>
  <c r="I2068" i="1"/>
  <c r="A2069" i="1"/>
  <c r="B2069" i="1"/>
  <c r="E2069" i="1"/>
  <c r="H2069" i="1"/>
  <c r="I2069" i="1"/>
  <c r="A2032" i="1"/>
  <c r="B2032" i="1"/>
  <c r="E2032" i="1"/>
  <c r="H2032" i="1"/>
  <c r="I2032" i="1"/>
  <c r="A2033" i="1"/>
  <c r="B2033" i="1"/>
  <c r="E2033" i="1"/>
  <c r="H2033" i="1"/>
  <c r="I2033" i="1"/>
  <c r="A2007" i="1"/>
  <c r="B2007" i="1"/>
  <c r="E2007" i="1"/>
  <c r="H2007" i="1"/>
  <c r="I2007" i="1"/>
  <c r="A2008" i="1"/>
  <c r="B2008" i="1"/>
  <c r="E2008" i="1"/>
  <c r="H2008" i="1"/>
  <c r="I2008" i="1"/>
  <c r="A2042" i="1"/>
  <c r="B2042" i="1"/>
  <c r="E2042" i="1"/>
  <c r="H2042" i="1"/>
  <c r="I2042" i="1"/>
  <c r="A2043" i="1"/>
  <c r="B2043" i="1"/>
  <c r="E2043" i="1"/>
  <c r="H2043" i="1"/>
  <c r="I2043" i="1"/>
  <c r="A2070" i="1"/>
  <c r="B2070" i="1"/>
  <c r="E2070" i="1"/>
  <c r="H2070" i="1"/>
  <c r="I2070" i="1"/>
  <c r="A2071" i="1"/>
  <c r="B2071" i="1"/>
  <c r="E2071" i="1"/>
  <c r="H2071" i="1"/>
  <c r="I2071" i="1"/>
  <c r="A2058" i="1"/>
  <c r="B2058" i="1"/>
  <c r="E2058" i="1"/>
  <c r="H2058" i="1"/>
  <c r="I2058" i="1"/>
  <c r="A2059" i="1"/>
  <c r="B2059" i="1"/>
  <c r="E2059" i="1"/>
  <c r="H2059" i="1"/>
  <c r="I2059" i="1"/>
  <c r="A2046" i="1"/>
  <c r="B2046" i="1"/>
  <c r="E2046" i="1"/>
  <c r="H2046" i="1"/>
  <c r="I2046" i="1"/>
  <c r="A2047" i="1"/>
  <c r="B2047" i="1"/>
  <c r="E2047" i="1"/>
  <c r="H2047" i="1"/>
  <c r="I2047" i="1"/>
  <c r="A2072" i="1"/>
  <c r="B2072" i="1"/>
  <c r="E2072" i="1"/>
  <c r="H2072" i="1"/>
  <c r="I2072" i="1"/>
  <c r="A2044" i="1"/>
  <c r="B2044" i="1"/>
  <c r="E2044" i="1"/>
  <c r="H2044" i="1"/>
  <c r="I2044" i="1"/>
  <c r="A2026" i="1"/>
  <c r="B2026" i="1"/>
  <c r="E2026" i="1"/>
  <c r="H2026" i="1"/>
  <c r="I2026" i="1"/>
  <c r="A2027" i="1"/>
  <c r="B2027" i="1"/>
  <c r="E2027" i="1"/>
  <c r="H2027" i="1"/>
  <c r="I2027" i="1"/>
  <c r="A2040" i="1"/>
  <c r="B2040" i="1"/>
  <c r="E2040" i="1"/>
  <c r="H2040" i="1"/>
  <c r="I2040" i="1"/>
  <c r="A2041" i="1"/>
  <c r="B2041" i="1"/>
  <c r="E2041" i="1"/>
  <c r="H2041" i="1"/>
  <c r="I2041" i="1"/>
  <c r="A2050" i="1"/>
  <c r="B2050" i="1"/>
  <c r="E2050" i="1"/>
  <c r="H2050" i="1"/>
  <c r="I2050" i="1"/>
  <c r="A2051" i="1"/>
  <c r="B2051" i="1"/>
  <c r="E2051" i="1"/>
  <c r="H2051" i="1"/>
  <c r="I2051" i="1"/>
  <c r="A2034" i="1"/>
  <c r="B2034" i="1"/>
  <c r="E2034" i="1"/>
  <c r="H2034" i="1"/>
  <c r="I2034" i="1"/>
  <c r="A2035" i="1"/>
  <c r="B2035" i="1"/>
  <c r="E2035" i="1"/>
  <c r="H2035" i="1"/>
  <c r="I2035" i="1"/>
  <c r="A2019" i="1"/>
  <c r="B2019" i="1"/>
  <c r="E2019" i="1"/>
  <c r="H2019" i="1"/>
  <c r="I2019" i="1"/>
  <c r="A2020" i="1"/>
  <c r="B2020" i="1"/>
  <c r="E2020" i="1"/>
  <c r="H2020" i="1"/>
  <c r="I2020" i="1"/>
  <c r="A2060" i="1"/>
  <c r="B2060" i="1"/>
  <c r="E2060" i="1"/>
  <c r="H2060" i="1"/>
  <c r="I2060" i="1"/>
  <c r="A2061" i="1"/>
  <c r="B2061" i="1"/>
  <c r="E2061" i="1"/>
  <c r="H2061" i="1"/>
  <c r="I2061" i="1"/>
  <c r="A2062" i="1"/>
  <c r="B2062" i="1"/>
  <c r="E2062" i="1"/>
  <c r="H2062" i="1"/>
  <c r="I2062" i="1"/>
  <c r="A2063" i="1"/>
  <c r="B2063" i="1"/>
  <c r="E2063" i="1"/>
  <c r="H2063" i="1"/>
  <c r="I2063" i="1"/>
  <c r="A2017" i="1"/>
  <c r="B2017" i="1"/>
  <c r="E2017" i="1"/>
  <c r="H2017" i="1"/>
  <c r="I2017" i="1"/>
  <c r="A2018" i="1"/>
  <c r="B2018" i="1"/>
  <c r="E2018" i="1"/>
  <c r="H2018" i="1"/>
  <c r="I2018" i="1"/>
  <c r="A2064" i="1"/>
  <c r="B2064" i="1"/>
  <c r="E2064" i="1"/>
  <c r="H2064" i="1"/>
  <c r="I2064" i="1"/>
  <c r="A2990" i="1"/>
  <c r="B2990" i="1"/>
  <c r="E2990" i="1"/>
  <c r="H2990" i="1"/>
  <c r="I2990" i="1"/>
  <c r="A2991" i="1"/>
  <c r="B2991" i="1"/>
  <c r="E2991" i="1"/>
  <c r="H2991" i="1"/>
  <c r="I2991" i="1"/>
  <c r="A2992" i="1"/>
  <c r="B2992" i="1"/>
  <c r="E2992" i="1"/>
  <c r="H2992" i="1"/>
  <c r="I2992" i="1"/>
  <c r="A821" i="1"/>
  <c r="B821" i="1"/>
  <c r="E821" i="1"/>
  <c r="H821" i="1"/>
  <c r="I821" i="1"/>
  <c r="A822" i="1"/>
  <c r="B822" i="1"/>
  <c r="E822" i="1"/>
  <c r="H822" i="1"/>
  <c r="I822" i="1"/>
  <c r="A809" i="1"/>
  <c r="B809" i="1"/>
  <c r="E809" i="1"/>
  <c r="H809" i="1"/>
  <c r="I809" i="1"/>
  <c r="A810" i="1"/>
  <c r="B810" i="1"/>
  <c r="E810" i="1"/>
  <c r="H810" i="1"/>
  <c r="I810" i="1"/>
  <c r="A803" i="1"/>
  <c r="B803" i="1"/>
  <c r="E803" i="1"/>
  <c r="H803" i="1"/>
  <c r="I803" i="1"/>
  <c r="A804" i="1"/>
  <c r="B804" i="1"/>
  <c r="E804" i="1"/>
  <c r="H804" i="1"/>
  <c r="I804" i="1"/>
  <c r="A795" i="1"/>
  <c r="B795" i="1"/>
  <c r="E795" i="1"/>
  <c r="H795" i="1"/>
  <c r="I795" i="1"/>
  <c r="A796" i="1"/>
  <c r="B796" i="1"/>
  <c r="E796" i="1"/>
  <c r="H796" i="1"/>
  <c r="I796" i="1"/>
  <c r="A819" i="1"/>
  <c r="B819" i="1"/>
  <c r="E819" i="1"/>
  <c r="H819" i="1"/>
  <c r="I819" i="1"/>
  <c r="A820" i="1"/>
  <c r="B820" i="1"/>
  <c r="E820" i="1"/>
  <c r="H820" i="1"/>
  <c r="I820" i="1"/>
  <c r="A827" i="1"/>
  <c r="B827" i="1"/>
  <c r="E827" i="1"/>
  <c r="H827" i="1"/>
  <c r="I827" i="1"/>
  <c r="A828" i="1"/>
  <c r="B828" i="1"/>
  <c r="E828" i="1"/>
  <c r="H828" i="1"/>
  <c r="I828" i="1"/>
  <c r="A801" i="1"/>
  <c r="B801" i="1"/>
  <c r="E801" i="1"/>
  <c r="H801" i="1"/>
  <c r="I801" i="1"/>
  <c r="A802" i="1"/>
  <c r="B802" i="1"/>
  <c r="E802" i="1"/>
  <c r="H802" i="1"/>
  <c r="I802" i="1"/>
  <c r="A793" i="1"/>
  <c r="B793" i="1"/>
  <c r="E793" i="1"/>
  <c r="H793" i="1"/>
  <c r="I793" i="1"/>
  <c r="A794" i="1"/>
  <c r="B794" i="1"/>
  <c r="E794" i="1"/>
  <c r="H794" i="1"/>
  <c r="I794" i="1"/>
  <c r="A799" i="1"/>
  <c r="B799" i="1"/>
  <c r="E799" i="1"/>
  <c r="H799" i="1"/>
  <c r="I799" i="1"/>
  <c r="A800" i="1"/>
  <c r="B800" i="1"/>
  <c r="E800" i="1"/>
  <c r="H800" i="1"/>
  <c r="I800" i="1"/>
  <c r="A811" i="1"/>
  <c r="B811" i="1"/>
  <c r="E811" i="1"/>
  <c r="H811" i="1"/>
  <c r="I811" i="1"/>
  <c r="A812" i="1"/>
  <c r="B812" i="1"/>
  <c r="E812" i="1"/>
  <c r="H812" i="1"/>
  <c r="I812" i="1"/>
  <c r="A791" i="1"/>
  <c r="B791" i="1"/>
  <c r="E791" i="1"/>
  <c r="H791" i="1"/>
  <c r="I791" i="1"/>
  <c r="A792" i="1"/>
  <c r="B792" i="1"/>
  <c r="E792" i="1"/>
  <c r="H792" i="1"/>
  <c r="I792" i="1"/>
  <c r="A342" i="1"/>
  <c r="B342" i="1"/>
  <c r="E342" i="1"/>
  <c r="H342" i="1"/>
  <c r="I342" i="1"/>
  <c r="A353" i="1"/>
  <c r="B353" i="1"/>
  <c r="E353" i="1"/>
  <c r="H353" i="1"/>
  <c r="I353" i="1"/>
  <c r="A359" i="1"/>
  <c r="B359" i="1"/>
  <c r="E359" i="1"/>
  <c r="H359" i="1"/>
  <c r="I359" i="1"/>
  <c r="A331" i="1"/>
  <c r="B331" i="1"/>
  <c r="E331" i="1"/>
  <c r="H331" i="1"/>
  <c r="I331" i="1"/>
  <c r="A325" i="1"/>
  <c r="B325" i="1"/>
  <c r="E325" i="1"/>
  <c r="H325" i="1"/>
  <c r="I325" i="1"/>
  <c r="A499" i="1"/>
  <c r="B499" i="1"/>
  <c r="E499" i="1"/>
  <c r="H499" i="1"/>
  <c r="I499" i="1"/>
  <c r="A720" i="1"/>
  <c r="B720" i="1"/>
  <c r="E720" i="1"/>
  <c r="H720" i="1"/>
  <c r="I720" i="1"/>
  <c r="A2762" i="1"/>
  <c r="B2762" i="1"/>
  <c r="E2762" i="1"/>
  <c r="H2762" i="1"/>
  <c r="I2762" i="1"/>
  <c r="A260" i="1"/>
  <c r="B260" i="1"/>
  <c r="E260" i="1"/>
  <c r="H260" i="1"/>
  <c r="I260" i="1"/>
  <c r="A636" i="1"/>
  <c r="B636" i="1"/>
  <c r="E636" i="1"/>
  <c r="H636" i="1"/>
  <c r="I636" i="1"/>
  <c r="A869" i="1"/>
  <c r="B869" i="1"/>
  <c r="E869" i="1"/>
  <c r="H869" i="1"/>
  <c r="I869" i="1"/>
  <c r="A870" i="1"/>
  <c r="B870" i="1"/>
  <c r="E870" i="1"/>
  <c r="H870" i="1"/>
  <c r="I870" i="1"/>
  <c r="A871" i="1"/>
  <c r="B871" i="1"/>
  <c r="E871" i="1"/>
  <c r="H871" i="1"/>
  <c r="I871" i="1"/>
  <c r="A872" i="1"/>
  <c r="B872" i="1"/>
  <c r="E872" i="1"/>
  <c r="H872" i="1"/>
  <c r="I872" i="1"/>
  <c r="A904" i="1"/>
  <c r="B904" i="1"/>
  <c r="E904" i="1"/>
  <c r="H904" i="1"/>
  <c r="I904" i="1"/>
  <c r="A905" i="1"/>
  <c r="B905" i="1"/>
  <c r="E905" i="1"/>
  <c r="H905" i="1"/>
  <c r="I905" i="1"/>
  <c r="A893" i="1"/>
  <c r="B893" i="1"/>
  <c r="E893" i="1"/>
  <c r="H893" i="1"/>
  <c r="I893" i="1"/>
  <c r="A894" i="1"/>
  <c r="B894" i="1"/>
  <c r="E894" i="1"/>
  <c r="H894" i="1"/>
  <c r="I894" i="1"/>
  <c r="A907" i="1"/>
  <c r="B907" i="1"/>
  <c r="E907" i="1"/>
  <c r="H907" i="1"/>
  <c r="I907" i="1"/>
  <c r="A908" i="1"/>
  <c r="B908" i="1"/>
  <c r="E908" i="1"/>
  <c r="H908" i="1"/>
  <c r="I908" i="1"/>
  <c r="A883" i="1"/>
  <c r="B883" i="1"/>
  <c r="E883" i="1"/>
  <c r="H883" i="1"/>
  <c r="I883" i="1"/>
  <c r="A884" i="1"/>
  <c r="B884" i="1"/>
  <c r="E884" i="1"/>
  <c r="H884" i="1"/>
  <c r="I884" i="1"/>
  <c r="A909" i="1"/>
  <c r="B909" i="1"/>
  <c r="E909" i="1"/>
  <c r="H909" i="1"/>
  <c r="I909" i="1"/>
  <c r="A910" i="1"/>
  <c r="B910" i="1"/>
  <c r="E910" i="1"/>
  <c r="H910" i="1"/>
  <c r="I910" i="1"/>
  <c r="A873" i="1"/>
  <c r="B873" i="1"/>
  <c r="E873" i="1"/>
  <c r="H873" i="1"/>
  <c r="I873" i="1"/>
  <c r="A874" i="1"/>
  <c r="B874" i="1"/>
  <c r="E874" i="1"/>
  <c r="H874" i="1"/>
  <c r="I874" i="1"/>
  <c r="A900" i="1"/>
  <c r="B900" i="1"/>
  <c r="E900" i="1"/>
  <c r="H900" i="1"/>
  <c r="I900" i="1"/>
  <c r="A901" i="1"/>
  <c r="B901" i="1"/>
  <c r="E901" i="1"/>
  <c r="H901" i="1"/>
  <c r="I901" i="1"/>
  <c r="A891" i="1"/>
  <c r="B891" i="1"/>
  <c r="E891" i="1"/>
  <c r="H891" i="1"/>
  <c r="I891" i="1"/>
  <c r="A892" i="1"/>
  <c r="B892" i="1"/>
  <c r="E892" i="1"/>
  <c r="H892" i="1"/>
  <c r="I892" i="1"/>
  <c r="A902" i="1"/>
  <c r="B902" i="1"/>
  <c r="E902" i="1"/>
  <c r="H902" i="1"/>
  <c r="I902" i="1"/>
  <c r="A903" i="1"/>
  <c r="B903" i="1"/>
  <c r="E903" i="1"/>
  <c r="H903" i="1"/>
  <c r="I903" i="1"/>
  <c r="A877" i="1"/>
  <c r="B877" i="1"/>
  <c r="E877" i="1"/>
  <c r="H877" i="1"/>
  <c r="I877" i="1"/>
  <c r="A878" i="1"/>
  <c r="B878" i="1"/>
  <c r="E878" i="1"/>
  <c r="H878" i="1"/>
  <c r="I878" i="1"/>
  <c r="A898" i="1"/>
  <c r="B898" i="1"/>
  <c r="E898" i="1"/>
  <c r="H898" i="1"/>
  <c r="I898" i="1"/>
  <c r="A899" i="1"/>
  <c r="B899" i="1"/>
  <c r="E899" i="1"/>
  <c r="H899" i="1"/>
  <c r="I899" i="1"/>
  <c r="A889" i="1"/>
  <c r="B889" i="1"/>
  <c r="E889" i="1"/>
  <c r="H889" i="1"/>
  <c r="I889" i="1"/>
  <c r="A890" i="1"/>
  <c r="B890" i="1"/>
  <c r="E890" i="1"/>
  <c r="H890" i="1"/>
  <c r="I890" i="1"/>
  <c r="A912" i="1"/>
  <c r="B912" i="1"/>
  <c r="E912" i="1"/>
  <c r="H912" i="1"/>
  <c r="I912" i="1"/>
  <c r="A913" i="1"/>
  <c r="B913" i="1"/>
  <c r="E913" i="1"/>
  <c r="H913" i="1"/>
  <c r="I913" i="1"/>
  <c r="A914" i="1"/>
  <c r="B914" i="1"/>
  <c r="E914" i="1"/>
  <c r="H914" i="1"/>
  <c r="I914" i="1"/>
  <c r="A911" i="1"/>
  <c r="B911" i="1"/>
  <c r="E911" i="1"/>
  <c r="H911" i="1"/>
  <c r="I911" i="1"/>
  <c r="A895" i="1"/>
  <c r="B895" i="1"/>
  <c r="E895" i="1"/>
  <c r="H895" i="1"/>
  <c r="I895" i="1"/>
  <c r="A1438" i="1"/>
  <c r="B1438" i="1"/>
  <c r="E1438" i="1"/>
  <c r="H1438" i="1"/>
  <c r="I1438" i="1"/>
  <c r="A1455" i="1"/>
  <c r="B1455" i="1"/>
  <c r="E1455" i="1"/>
  <c r="H1455" i="1"/>
  <c r="I1455" i="1"/>
  <c r="A1435" i="1"/>
  <c r="B1435" i="1"/>
  <c r="E1435" i="1"/>
  <c r="H1435" i="1"/>
  <c r="I1435" i="1"/>
  <c r="A1453" i="1"/>
  <c r="B1453" i="1"/>
  <c r="E1453" i="1"/>
  <c r="H1453" i="1"/>
  <c r="I1453" i="1"/>
  <c r="A1433" i="1"/>
  <c r="B1433" i="1"/>
  <c r="E1433" i="1"/>
  <c r="H1433" i="1"/>
  <c r="I1433" i="1"/>
  <c r="A1451" i="1"/>
  <c r="B1451" i="1"/>
  <c r="E1451" i="1"/>
  <c r="H1451" i="1"/>
  <c r="I1451" i="1"/>
  <c r="A1440" i="1"/>
  <c r="B1440" i="1"/>
  <c r="E1440" i="1"/>
  <c r="H1440" i="1"/>
  <c r="I1440" i="1"/>
  <c r="A1456" i="1"/>
  <c r="B1456" i="1"/>
  <c r="E1456" i="1"/>
  <c r="H1456" i="1"/>
  <c r="I1456" i="1"/>
  <c r="A1445" i="1"/>
  <c r="B1445" i="1"/>
  <c r="E1445" i="1"/>
  <c r="H1445" i="1"/>
  <c r="I1445" i="1"/>
  <c r="A1443" i="1"/>
  <c r="B1443" i="1"/>
  <c r="E1443" i="1"/>
  <c r="H1443" i="1"/>
  <c r="I1443" i="1"/>
  <c r="A1447" i="1"/>
  <c r="B1447" i="1"/>
  <c r="E1447" i="1"/>
  <c r="H1447" i="1"/>
  <c r="I1447" i="1"/>
  <c r="A1437" i="1"/>
  <c r="B1437" i="1"/>
  <c r="E1437" i="1"/>
  <c r="H1437" i="1"/>
  <c r="I1437" i="1"/>
  <c r="A1449" i="1"/>
  <c r="B1449" i="1"/>
  <c r="E1449" i="1"/>
  <c r="H1449" i="1"/>
  <c r="I1449" i="1"/>
  <c r="A2009" i="1"/>
  <c r="B2009" i="1"/>
  <c r="E2009" i="1"/>
  <c r="H2009" i="1"/>
  <c r="I2009" i="1"/>
  <c r="A2010" i="1"/>
  <c r="B2010" i="1"/>
  <c r="E2010" i="1"/>
  <c r="H2010" i="1"/>
  <c r="I2010" i="1"/>
  <c r="A2048" i="1"/>
  <c r="B2048" i="1"/>
  <c r="E2048" i="1"/>
  <c r="H2048" i="1"/>
  <c r="I2048" i="1"/>
  <c r="A2049" i="1"/>
  <c r="B2049" i="1"/>
  <c r="E2049" i="1"/>
  <c r="H2049" i="1"/>
  <c r="I2049" i="1"/>
  <c r="A2030" i="1"/>
  <c r="B2030" i="1"/>
  <c r="E2030" i="1"/>
  <c r="H2030" i="1"/>
  <c r="I2030" i="1"/>
  <c r="A2031" i="1"/>
  <c r="B2031" i="1"/>
  <c r="E2031" i="1"/>
  <c r="H2031" i="1"/>
  <c r="I2031" i="1"/>
  <c r="A2015" i="1"/>
  <c r="B2015" i="1"/>
  <c r="E2015" i="1"/>
  <c r="H2015" i="1"/>
  <c r="I2015" i="1"/>
  <c r="A2016" i="1"/>
  <c r="B2016" i="1"/>
  <c r="E2016" i="1"/>
  <c r="H2016" i="1"/>
  <c r="I2016" i="1"/>
  <c r="A2038" i="1"/>
  <c r="B2038" i="1"/>
  <c r="E2038" i="1"/>
  <c r="H2038" i="1"/>
  <c r="I2038" i="1"/>
  <c r="A2039" i="1"/>
  <c r="B2039" i="1"/>
  <c r="E2039" i="1"/>
  <c r="H2039" i="1"/>
  <c r="I2039" i="1"/>
  <c r="A2025" i="1"/>
  <c r="B2025" i="1"/>
  <c r="E2025" i="1"/>
  <c r="H2025" i="1"/>
  <c r="I2025" i="1"/>
  <c r="A2021" i="1"/>
  <c r="B2021" i="1"/>
  <c r="E2021" i="1"/>
  <c r="H2021" i="1"/>
  <c r="I2021" i="1"/>
  <c r="A2022" i="1"/>
  <c r="B2022" i="1"/>
  <c r="E2022" i="1"/>
  <c r="H2022" i="1"/>
  <c r="I2022" i="1"/>
  <c r="A2028" i="1"/>
  <c r="B2028" i="1"/>
  <c r="E2028" i="1"/>
  <c r="H2028" i="1"/>
  <c r="I2028" i="1"/>
  <c r="A2029" i="1"/>
  <c r="B2029" i="1"/>
  <c r="E2029" i="1"/>
  <c r="H2029" i="1"/>
  <c r="I2029" i="1"/>
  <c r="A2056" i="1"/>
  <c r="B2056" i="1"/>
  <c r="E2056" i="1"/>
  <c r="H2056" i="1"/>
  <c r="I2056" i="1"/>
  <c r="A2057" i="1"/>
  <c r="B2057" i="1"/>
  <c r="E2057" i="1"/>
  <c r="H2057" i="1"/>
  <c r="I2057" i="1"/>
  <c r="A2086" i="1"/>
  <c r="B2086" i="1"/>
  <c r="E2086" i="1"/>
  <c r="H2086" i="1"/>
  <c r="I2086" i="1"/>
  <c r="A2087" i="1"/>
  <c r="B2087" i="1"/>
  <c r="E2087" i="1"/>
  <c r="H2087" i="1"/>
  <c r="I2087" i="1"/>
  <c r="A2052" i="1"/>
  <c r="B2052" i="1"/>
  <c r="E2052" i="1"/>
  <c r="H2052" i="1"/>
  <c r="I2052" i="1"/>
  <c r="A2053" i="1"/>
  <c r="B2053" i="1"/>
  <c r="E2053" i="1"/>
  <c r="H2053" i="1"/>
  <c r="I2053" i="1"/>
  <c r="A2076" i="1"/>
  <c r="B2076" i="1"/>
  <c r="E2076" i="1"/>
  <c r="H2076" i="1"/>
  <c r="I2076" i="1"/>
  <c r="A2077" i="1"/>
  <c r="B2077" i="1"/>
  <c r="E2077" i="1"/>
  <c r="H2077" i="1"/>
  <c r="I2077" i="1"/>
  <c r="A2078" i="1"/>
  <c r="B2078" i="1"/>
  <c r="E2078" i="1"/>
  <c r="H2078" i="1"/>
  <c r="I2078" i="1"/>
  <c r="A2079" i="1"/>
  <c r="B2079" i="1"/>
  <c r="E2079" i="1"/>
  <c r="H2079" i="1"/>
  <c r="I2079" i="1"/>
  <c r="A2080" i="1"/>
  <c r="B2080" i="1"/>
  <c r="E2080" i="1"/>
  <c r="H2080" i="1"/>
  <c r="I2080" i="1"/>
  <c r="A2081" i="1"/>
  <c r="B2081" i="1"/>
  <c r="E2081" i="1"/>
  <c r="H2081" i="1"/>
  <c r="I2081" i="1"/>
  <c r="A2074" i="1"/>
  <c r="B2074" i="1"/>
  <c r="E2074" i="1"/>
  <c r="H2074" i="1"/>
  <c r="I2074" i="1"/>
  <c r="A2075" i="1"/>
  <c r="B2075" i="1"/>
  <c r="E2075" i="1"/>
  <c r="H2075" i="1"/>
  <c r="I2075" i="1"/>
  <c r="A2036" i="1"/>
  <c r="B2036" i="1"/>
  <c r="E2036" i="1"/>
  <c r="H2036" i="1"/>
  <c r="I2036" i="1"/>
  <c r="A2037" i="1"/>
  <c r="B2037" i="1"/>
  <c r="E2037" i="1"/>
  <c r="H2037" i="1"/>
  <c r="I2037" i="1"/>
  <c r="A2082" i="1"/>
  <c r="B2082" i="1"/>
  <c r="E2082" i="1"/>
  <c r="H2082" i="1"/>
  <c r="I2082" i="1"/>
  <c r="A2083" i="1"/>
  <c r="B2083" i="1"/>
  <c r="E2083" i="1"/>
  <c r="H2083" i="1"/>
  <c r="I2083" i="1"/>
  <c r="A2084" i="1"/>
  <c r="B2084" i="1"/>
  <c r="E2084" i="1"/>
  <c r="H2084" i="1"/>
  <c r="I2084" i="1"/>
  <c r="A2085" i="1"/>
  <c r="B2085" i="1"/>
  <c r="E2085" i="1"/>
  <c r="H2085" i="1"/>
  <c r="I2085" i="1"/>
  <c r="A3408" i="1"/>
  <c r="B3408" i="1"/>
  <c r="E3408" i="1"/>
  <c r="H3408" i="1"/>
  <c r="I3408" i="1"/>
  <c r="A3409" i="1"/>
  <c r="B3409" i="1"/>
  <c r="E3409" i="1"/>
  <c r="H3409" i="1"/>
  <c r="I3409" i="1"/>
  <c r="A3410" i="1"/>
  <c r="B3410" i="1"/>
  <c r="E3410" i="1"/>
  <c r="H3410" i="1"/>
  <c r="I3410" i="1"/>
  <c r="A3411" i="1"/>
  <c r="B3411" i="1"/>
  <c r="E3411" i="1"/>
  <c r="H3411" i="1"/>
  <c r="I3411" i="1"/>
  <c r="A3412" i="1"/>
  <c r="B3412" i="1"/>
  <c r="E3412" i="1"/>
  <c r="H3412" i="1"/>
  <c r="I3412" i="1"/>
  <c r="A3413" i="1"/>
  <c r="B3413" i="1"/>
  <c r="E3413" i="1"/>
  <c r="H3413" i="1"/>
  <c r="I3413" i="1"/>
  <c r="A2461" i="1"/>
  <c r="B2461" i="1"/>
  <c r="E2461" i="1"/>
  <c r="H2461" i="1"/>
  <c r="I2461" i="1"/>
  <c r="A258" i="1"/>
  <c r="B258" i="1"/>
  <c r="E258" i="1"/>
  <c r="H258" i="1"/>
  <c r="I258" i="1"/>
  <c r="A726" i="1"/>
  <c r="B726" i="1"/>
  <c r="E726" i="1"/>
  <c r="H726" i="1"/>
  <c r="I726" i="1"/>
  <c r="A1135" i="1"/>
  <c r="B1135" i="1"/>
  <c r="E1135" i="1"/>
  <c r="H1135" i="1"/>
  <c r="I1135" i="1"/>
  <c r="A999" i="1"/>
  <c r="B999" i="1"/>
  <c r="E999" i="1"/>
  <c r="H999" i="1"/>
  <c r="I999" i="1"/>
  <c r="A1157" i="1"/>
  <c r="B1157" i="1"/>
  <c r="E1157" i="1"/>
  <c r="H1157" i="1"/>
  <c r="I1157" i="1"/>
  <c r="A1015" i="1"/>
  <c r="B1015" i="1"/>
  <c r="E1015" i="1"/>
  <c r="H1015" i="1"/>
  <c r="I1015" i="1"/>
  <c r="A1096" i="1"/>
  <c r="B1096" i="1"/>
  <c r="E1096" i="1"/>
  <c r="H1096" i="1"/>
  <c r="I1096" i="1"/>
  <c r="A1057" i="1"/>
  <c r="B1057" i="1"/>
  <c r="E1057" i="1"/>
  <c r="H1057" i="1"/>
  <c r="I1057" i="1"/>
  <c r="A1946" i="1"/>
  <c r="B1946" i="1"/>
  <c r="E1946" i="1"/>
  <c r="H1946" i="1"/>
  <c r="I1946" i="1"/>
  <c r="A2100" i="1"/>
  <c r="B2100" i="1"/>
  <c r="E2100" i="1"/>
  <c r="H2100" i="1"/>
  <c r="I2100" i="1"/>
  <c r="A2112" i="1"/>
  <c r="B2112" i="1"/>
  <c r="E2112" i="1"/>
  <c r="H2112" i="1"/>
  <c r="I2112" i="1"/>
  <c r="A2185" i="1"/>
  <c r="B2185" i="1"/>
  <c r="E2185" i="1"/>
  <c r="H2185" i="1"/>
  <c r="I2185" i="1"/>
  <c r="A2222" i="1"/>
  <c r="B2222" i="1"/>
  <c r="E2222" i="1"/>
  <c r="H2222" i="1"/>
  <c r="I2222" i="1"/>
  <c r="A2165" i="1"/>
  <c r="B2165" i="1"/>
  <c r="E2165" i="1"/>
  <c r="H2165" i="1"/>
  <c r="I2165" i="1"/>
  <c r="A2313" i="1"/>
  <c r="B2313" i="1"/>
  <c r="E2313" i="1"/>
  <c r="H2313" i="1"/>
  <c r="I2313" i="1"/>
  <c r="A2331" i="1"/>
  <c r="B2331" i="1"/>
  <c r="E2331" i="1"/>
  <c r="H2331" i="1"/>
  <c r="I2331" i="1"/>
  <c r="A2469" i="1"/>
  <c r="B2469" i="1"/>
  <c r="E2469" i="1"/>
  <c r="H2469" i="1"/>
  <c r="I2469" i="1"/>
  <c r="A2721" i="1"/>
  <c r="B2721" i="1"/>
  <c r="E2721" i="1"/>
  <c r="H2721" i="1"/>
  <c r="I2721" i="1"/>
  <c r="A3113" i="1"/>
  <c r="B3113" i="1"/>
  <c r="E3113" i="1"/>
  <c r="H3113" i="1"/>
  <c r="I3113" i="1"/>
  <c r="A3124" i="1"/>
  <c r="B3124" i="1"/>
  <c r="E3124" i="1"/>
  <c r="H3124" i="1"/>
  <c r="I3124" i="1"/>
  <c r="A3312" i="1"/>
  <c r="B3312" i="1"/>
  <c r="E3312" i="1"/>
  <c r="H3312" i="1"/>
  <c r="I3312" i="1"/>
  <c r="A3296" i="1"/>
  <c r="B3296" i="1"/>
  <c r="E3296" i="1"/>
  <c r="H3296" i="1"/>
  <c r="I3296" i="1"/>
  <c r="A3013" i="1"/>
  <c r="B3013" i="1"/>
  <c r="E3013" i="1"/>
  <c r="H3013" i="1"/>
  <c r="I3013" i="1"/>
  <c r="A3014" i="1"/>
  <c r="B3014" i="1"/>
  <c r="E3014" i="1"/>
  <c r="H3014" i="1"/>
  <c r="I3014" i="1"/>
  <c r="A3015" i="1"/>
  <c r="B3015" i="1"/>
  <c r="E3015" i="1"/>
  <c r="H3015" i="1"/>
  <c r="I3015" i="1"/>
  <c r="A3016" i="1"/>
  <c r="B3016" i="1"/>
  <c r="E3016" i="1"/>
  <c r="H3016" i="1"/>
  <c r="I3016" i="1"/>
  <c r="A3017" i="1"/>
  <c r="B3017" i="1"/>
  <c r="E3017" i="1"/>
  <c r="H3017" i="1"/>
  <c r="I3017" i="1"/>
  <c r="A3018" i="1"/>
  <c r="B3018" i="1"/>
  <c r="E3018" i="1"/>
  <c r="H3018" i="1"/>
  <c r="I3018" i="1"/>
  <c r="A3002" i="1"/>
  <c r="B3002" i="1"/>
  <c r="E3002" i="1"/>
  <c r="H3002" i="1"/>
  <c r="I3002" i="1"/>
  <c r="A3021" i="1"/>
  <c r="B3021" i="1"/>
  <c r="E3021" i="1"/>
  <c r="H3021" i="1"/>
  <c r="I3021" i="1"/>
  <c r="A3022" i="1"/>
  <c r="B3022" i="1"/>
  <c r="E3022" i="1"/>
  <c r="H3022" i="1"/>
  <c r="I3022" i="1"/>
  <c r="A3007" i="1"/>
  <c r="B3007" i="1"/>
  <c r="E3007" i="1"/>
  <c r="H3007" i="1"/>
  <c r="I3007" i="1"/>
  <c r="A3008" i="1"/>
  <c r="B3008" i="1"/>
  <c r="E3008" i="1"/>
  <c r="H3008" i="1"/>
  <c r="I3008" i="1"/>
  <c r="A2996" i="1"/>
  <c r="B2996" i="1"/>
  <c r="E2996" i="1"/>
  <c r="H2996" i="1"/>
  <c r="I2996" i="1"/>
  <c r="A2997" i="1"/>
  <c r="B2997" i="1"/>
  <c r="E2997" i="1"/>
  <c r="H2997" i="1"/>
  <c r="I2997" i="1"/>
  <c r="A3005" i="1"/>
  <c r="B3005" i="1"/>
  <c r="E3005" i="1"/>
  <c r="H3005" i="1"/>
  <c r="I3005" i="1"/>
  <c r="A3006" i="1"/>
  <c r="B3006" i="1"/>
  <c r="E3006" i="1"/>
  <c r="H3006" i="1"/>
  <c r="I3006" i="1"/>
  <c r="A2723" i="1"/>
  <c r="B2723" i="1"/>
  <c r="E2723" i="1"/>
  <c r="H2723" i="1"/>
  <c r="I2723" i="1"/>
  <c r="A2749" i="1"/>
  <c r="B2749" i="1"/>
  <c r="E2749" i="1"/>
  <c r="H2749" i="1"/>
  <c r="I2749" i="1"/>
  <c r="A2750" i="1"/>
  <c r="B2750" i="1"/>
  <c r="E2750" i="1"/>
  <c r="H2750" i="1"/>
  <c r="I2750" i="1"/>
  <c r="A2753" i="1"/>
  <c r="B2753" i="1"/>
  <c r="E2753" i="1"/>
  <c r="H2753" i="1"/>
  <c r="I2753" i="1"/>
  <c r="A2737" i="1"/>
  <c r="B2737" i="1"/>
  <c r="E2737" i="1"/>
  <c r="H2737" i="1"/>
  <c r="I2737" i="1"/>
  <c r="A2732" i="1"/>
  <c r="B2732" i="1"/>
  <c r="E2732" i="1"/>
  <c r="H2732" i="1"/>
  <c r="I2732" i="1"/>
  <c r="A2743" i="1"/>
  <c r="B2743" i="1"/>
  <c r="E2743" i="1"/>
  <c r="H2743" i="1"/>
  <c r="I2743" i="1"/>
  <c r="A2725" i="1"/>
  <c r="B2725" i="1"/>
  <c r="E2725" i="1"/>
  <c r="H2725" i="1"/>
  <c r="I2725" i="1"/>
  <c r="A2729" i="1"/>
  <c r="B2729" i="1"/>
  <c r="E2729" i="1"/>
  <c r="H2729" i="1"/>
  <c r="I2729" i="1"/>
  <c r="A2755" i="1"/>
  <c r="B2755" i="1"/>
  <c r="E2755" i="1"/>
  <c r="H2755" i="1"/>
  <c r="I2755" i="1"/>
  <c r="A2744" i="1"/>
  <c r="B2744" i="1"/>
  <c r="E2744" i="1"/>
  <c r="H2744" i="1"/>
  <c r="I2744" i="1"/>
  <c r="A2757" i="1"/>
  <c r="B2757" i="1"/>
  <c r="E2757" i="1"/>
  <c r="H2757" i="1"/>
  <c r="I2757" i="1"/>
  <c r="A2746" i="1"/>
  <c r="B2746" i="1"/>
  <c r="E2746" i="1"/>
  <c r="H2746" i="1"/>
  <c r="I2746" i="1"/>
  <c r="A2735" i="1"/>
  <c r="B2735" i="1"/>
  <c r="E2735" i="1"/>
  <c r="H2735" i="1"/>
  <c r="I2735" i="1"/>
  <c r="A2741" i="1"/>
  <c r="B2741" i="1"/>
  <c r="E2741" i="1"/>
  <c r="H2741" i="1"/>
  <c r="I2741" i="1"/>
  <c r="A2759" i="1"/>
  <c r="B2759" i="1"/>
  <c r="E2759" i="1"/>
  <c r="H2759" i="1"/>
  <c r="I2759" i="1"/>
  <c r="A2761" i="1"/>
  <c r="B2761" i="1"/>
  <c r="E2761" i="1"/>
  <c r="H2761" i="1"/>
  <c r="I2761" i="1"/>
  <c r="A2769" i="1"/>
  <c r="B2769" i="1"/>
  <c r="E2769" i="1"/>
  <c r="H2769" i="1"/>
  <c r="I2769" i="1"/>
  <c r="A2786" i="1"/>
  <c r="B2786" i="1"/>
  <c r="E2786" i="1"/>
  <c r="H2786" i="1"/>
  <c r="I2786" i="1"/>
  <c r="A2775" i="1"/>
  <c r="B2775" i="1"/>
  <c r="E2775" i="1"/>
  <c r="H2775" i="1"/>
  <c r="I2775" i="1"/>
  <c r="A2767" i="1"/>
  <c r="B2767" i="1"/>
  <c r="E2767" i="1"/>
  <c r="H2767" i="1"/>
  <c r="I2767" i="1"/>
  <c r="A2778" i="1"/>
  <c r="B2778" i="1"/>
  <c r="E2778" i="1"/>
  <c r="H2778" i="1"/>
  <c r="I2778" i="1"/>
  <c r="A2774" i="1"/>
  <c r="B2774" i="1"/>
  <c r="E2774" i="1"/>
  <c r="H2774" i="1"/>
  <c r="I2774" i="1"/>
  <c r="A2771" i="1"/>
  <c r="B2771" i="1"/>
  <c r="E2771" i="1"/>
  <c r="H2771" i="1"/>
  <c r="I2771" i="1"/>
  <c r="A2782" i="1"/>
  <c r="B2782" i="1"/>
  <c r="E2782" i="1"/>
  <c r="H2782" i="1"/>
  <c r="I2782" i="1"/>
  <c r="A2780" i="1"/>
  <c r="B2780" i="1"/>
  <c r="E2780" i="1"/>
  <c r="H2780" i="1"/>
  <c r="I2780" i="1"/>
  <c r="A2784" i="1"/>
  <c r="B2784" i="1"/>
  <c r="E2784" i="1"/>
  <c r="H2784" i="1"/>
  <c r="I2784" i="1"/>
  <c r="A2773" i="1"/>
  <c r="B2773" i="1"/>
  <c r="E2773" i="1"/>
  <c r="H2773" i="1"/>
  <c r="I2773" i="1"/>
  <c r="A2764" i="1"/>
  <c r="B2764" i="1"/>
  <c r="E2764" i="1"/>
  <c r="H2764" i="1"/>
  <c r="I2764" i="1"/>
  <c r="A2787" i="1"/>
  <c r="B2787" i="1"/>
  <c r="E2787" i="1"/>
  <c r="H2787" i="1"/>
  <c r="I2787" i="1"/>
  <c r="A2785" i="1"/>
  <c r="B2785" i="1"/>
  <c r="E2785" i="1"/>
  <c r="H2785" i="1"/>
  <c r="I2785" i="1"/>
  <c r="A2120" i="1"/>
  <c r="B2120" i="1"/>
  <c r="E2120" i="1"/>
  <c r="H2120" i="1"/>
  <c r="I2120" i="1"/>
  <c r="A2117" i="1"/>
  <c r="B2117" i="1"/>
  <c r="E2117" i="1"/>
  <c r="H2117" i="1"/>
  <c r="I2117" i="1"/>
  <c r="A588" i="1"/>
  <c r="B588" i="1"/>
  <c r="E588" i="1"/>
  <c r="H588" i="1"/>
  <c r="I588" i="1"/>
  <c r="A611" i="1"/>
  <c r="B611" i="1"/>
  <c r="E611" i="1"/>
  <c r="H611" i="1"/>
  <c r="I611" i="1"/>
  <c r="A600" i="1"/>
  <c r="B600" i="1"/>
  <c r="E600" i="1"/>
  <c r="H600" i="1"/>
  <c r="I600" i="1"/>
  <c r="A625" i="1"/>
  <c r="B625" i="1"/>
  <c r="E625" i="1"/>
  <c r="H625" i="1"/>
  <c r="I625" i="1"/>
  <c r="A2435" i="1"/>
  <c r="B2435" i="1"/>
  <c r="E2435" i="1"/>
  <c r="H2435" i="1"/>
  <c r="I2435" i="1"/>
  <c r="A1400" i="1"/>
  <c r="B1400" i="1"/>
  <c r="E1400" i="1"/>
  <c r="H1400" i="1"/>
  <c r="I1400" i="1"/>
  <c r="A1350" i="1"/>
  <c r="B1350" i="1"/>
  <c r="E1350" i="1"/>
  <c r="H1350" i="1"/>
  <c r="I1350" i="1"/>
  <c r="A1404" i="1"/>
  <c r="B1404" i="1"/>
  <c r="E1404" i="1"/>
  <c r="H1404" i="1"/>
  <c r="I1404" i="1"/>
  <c r="A1379" i="1"/>
  <c r="B1379" i="1"/>
  <c r="E1379" i="1"/>
  <c r="H1379" i="1"/>
  <c r="I1379" i="1"/>
  <c r="A1366" i="1"/>
  <c r="B1366" i="1"/>
  <c r="E1366" i="1"/>
  <c r="H1366" i="1"/>
  <c r="I1366" i="1"/>
  <c r="A2425" i="1"/>
  <c r="B2425" i="1"/>
  <c r="E2425" i="1"/>
  <c r="H2425" i="1"/>
  <c r="I2425" i="1"/>
  <c r="A2438" i="1"/>
  <c r="B2438" i="1"/>
  <c r="E2438" i="1"/>
  <c r="H2438" i="1"/>
  <c r="I2438" i="1"/>
  <c r="A2622" i="1"/>
  <c r="B2622" i="1"/>
  <c r="E2622" i="1"/>
  <c r="H2622" i="1"/>
  <c r="I2622" i="1"/>
  <c r="A2649" i="1"/>
  <c r="B2649" i="1"/>
  <c r="E2649" i="1"/>
  <c r="H2649" i="1"/>
  <c r="I2649" i="1"/>
  <c r="A2637" i="1"/>
  <c r="B2637" i="1"/>
  <c r="E2637" i="1"/>
  <c r="H2637" i="1"/>
  <c r="I2637" i="1"/>
  <c r="A2675" i="1"/>
  <c r="B2675" i="1"/>
  <c r="E2675" i="1"/>
  <c r="H2675" i="1"/>
  <c r="I2675" i="1"/>
  <c r="A2765" i="1"/>
  <c r="B2765" i="1"/>
  <c r="E2765" i="1"/>
  <c r="H2765" i="1"/>
  <c r="I2765" i="1"/>
  <c r="A541" i="1"/>
  <c r="B541" i="1"/>
  <c r="E541" i="1"/>
  <c r="H541" i="1"/>
  <c r="I541" i="1"/>
  <c r="A1776" i="1"/>
  <c r="B1776" i="1"/>
  <c r="E1776" i="1"/>
  <c r="H1776" i="1"/>
  <c r="I1776" i="1"/>
  <c r="A1827" i="1"/>
  <c r="B1827" i="1"/>
  <c r="E1827" i="1"/>
  <c r="H1827" i="1"/>
  <c r="I1827" i="1"/>
  <c r="A1780" i="1"/>
  <c r="B1780" i="1"/>
  <c r="E1780" i="1"/>
  <c r="H1780" i="1"/>
  <c r="I1780" i="1"/>
  <c r="A3287" i="1"/>
  <c r="B3287" i="1"/>
  <c r="E3287" i="1"/>
  <c r="H3287" i="1"/>
  <c r="I3287" i="1"/>
  <c r="A3288" i="1"/>
  <c r="B3288" i="1"/>
  <c r="E3288" i="1"/>
  <c r="H3288" i="1"/>
  <c r="I3288" i="1"/>
  <c r="A3245" i="1"/>
  <c r="B3245" i="1"/>
  <c r="E3245" i="1"/>
  <c r="H3245" i="1"/>
  <c r="I3245" i="1"/>
  <c r="A3246" i="1"/>
  <c r="B3246" i="1"/>
  <c r="E3246" i="1"/>
  <c r="H3246" i="1"/>
  <c r="I3246" i="1"/>
  <c r="A3285" i="1"/>
  <c r="B3285" i="1"/>
  <c r="E3285" i="1"/>
  <c r="H3285" i="1"/>
  <c r="I3285" i="1"/>
  <c r="A3286" i="1"/>
  <c r="B3286" i="1"/>
  <c r="E3286" i="1"/>
  <c r="H3286" i="1"/>
  <c r="I3286" i="1"/>
  <c r="A3271" i="1"/>
  <c r="B3271" i="1"/>
  <c r="E3271" i="1"/>
  <c r="H3271" i="1"/>
  <c r="I3271" i="1"/>
  <c r="A3272" i="1"/>
  <c r="B3272" i="1"/>
  <c r="E3272" i="1"/>
  <c r="H3272" i="1"/>
  <c r="I3272" i="1"/>
  <c r="A3255" i="1"/>
  <c r="B3255" i="1"/>
  <c r="E3255" i="1"/>
  <c r="H3255" i="1"/>
  <c r="I3255" i="1"/>
  <c r="A3256" i="1"/>
  <c r="B3256" i="1"/>
  <c r="E3256" i="1"/>
  <c r="H3256" i="1"/>
  <c r="I3256" i="1"/>
  <c r="A3261" i="1"/>
  <c r="B3261" i="1"/>
  <c r="E3261" i="1"/>
  <c r="H3261" i="1"/>
  <c r="I3261" i="1"/>
  <c r="A3262" i="1"/>
  <c r="B3262" i="1"/>
  <c r="E3262" i="1"/>
  <c r="H3262" i="1"/>
  <c r="I3262" i="1"/>
  <c r="A3247" i="1"/>
  <c r="B3247" i="1"/>
  <c r="E3247" i="1"/>
  <c r="H3247" i="1"/>
  <c r="I3247" i="1"/>
  <c r="A3248" i="1"/>
  <c r="B3248" i="1"/>
  <c r="E3248" i="1"/>
  <c r="H3248" i="1"/>
  <c r="I3248" i="1"/>
  <c r="A3263" i="1"/>
  <c r="B3263" i="1"/>
  <c r="E3263" i="1"/>
  <c r="H3263" i="1"/>
  <c r="I3263" i="1"/>
  <c r="A3264" i="1"/>
  <c r="B3264" i="1"/>
  <c r="E3264" i="1"/>
  <c r="H3264" i="1"/>
  <c r="I3264" i="1"/>
  <c r="A3277" i="1"/>
  <c r="B3277" i="1"/>
  <c r="E3277" i="1"/>
  <c r="H3277" i="1"/>
  <c r="I3277" i="1"/>
  <c r="A3278" i="1"/>
  <c r="B3278" i="1"/>
  <c r="E3278" i="1"/>
  <c r="H3278" i="1"/>
  <c r="I3278" i="1"/>
  <c r="A3279" i="1"/>
  <c r="B3279" i="1"/>
  <c r="E3279" i="1"/>
  <c r="H3279" i="1"/>
  <c r="I3279" i="1"/>
  <c r="A3280" i="1"/>
  <c r="B3280" i="1"/>
  <c r="E3280" i="1"/>
  <c r="H3280" i="1"/>
  <c r="I3280" i="1"/>
  <c r="A3249" i="1"/>
  <c r="B3249" i="1"/>
  <c r="E3249" i="1"/>
  <c r="H3249" i="1"/>
  <c r="I3249" i="1"/>
  <c r="A3250" i="1"/>
  <c r="B3250" i="1"/>
  <c r="E3250" i="1"/>
  <c r="H3250" i="1"/>
  <c r="I3250" i="1"/>
  <c r="A3275" i="1"/>
  <c r="B3275" i="1"/>
  <c r="E3275" i="1"/>
  <c r="H3275" i="1"/>
  <c r="I3275" i="1"/>
  <c r="A3276" i="1"/>
  <c r="B3276" i="1"/>
  <c r="E3276" i="1"/>
  <c r="H3276" i="1"/>
  <c r="I3276" i="1"/>
  <c r="A3267" i="1"/>
  <c r="B3267" i="1"/>
  <c r="E3267" i="1"/>
  <c r="H3267" i="1"/>
  <c r="I3267" i="1"/>
  <c r="A3268" i="1"/>
  <c r="B3268" i="1"/>
  <c r="E3268" i="1"/>
  <c r="H3268" i="1"/>
  <c r="I3268" i="1"/>
  <c r="A3269" i="1"/>
  <c r="B3269" i="1"/>
  <c r="E3269" i="1"/>
  <c r="H3269" i="1"/>
  <c r="I3269" i="1"/>
  <c r="A3270" i="1"/>
  <c r="B3270" i="1"/>
  <c r="E3270" i="1"/>
  <c r="H3270" i="1"/>
  <c r="I3270" i="1"/>
  <c r="A3257" i="1"/>
  <c r="B3257" i="1"/>
  <c r="E3257" i="1"/>
  <c r="H3257" i="1"/>
  <c r="I3257" i="1"/>
  <c r="A3258" i="1"/>
  <c r="B3258" i="1"/>
  <c r="E3258" i="1"/>
  <c r="H3258" i="1"/>
  <c r="I3258" i="1"/>
  <c r="A3289" i="1"/>
  <c r="B3289" i="1"/>
  <c r="E3289" i="1"/>
  <c r="H3289" i="1"/>
  <c r="I3289" i="1"/>
  <c r="A3265" i="1"/>
  <c r="B3265" i="1"/>
  <c r="E3265" i="1"/>
  <c r="H3265" i="1"/>
  <c r="I3265" i="1"/>
  <c r="A3266" i="1"/>
  <c r="B3266" i="1"/>
  <c r="E3266" i="1"/>
  <c r="H3266" i="1"/>
  <c r="I3266" i="1"/>
  <c r="A3273" i="1"/>
  <c r="B3273" i="1"/>
  <c r="E3273" i="1"/>
  <c r="H3273" i="1"/>
  <c r="I3273" i="1"/>
  <c r="A3274" i="1"/>
  <c r="B3274" i="1"/>
  <c r="E3274" i="1"/>
  <c r="H3274" i="1"/>
  <c r="I3274" i="1"/>
  <c r="A3253" i="1"/>
  <c r="B3253" i="1"/>
  <c r="E3253" i="1"/>
  <c r="H3253" i="1"/>
  <c r="I3253" i="1"/>
  <c r="A3254" i="1"/>
  <c r="B3254" i="1"/>
  <c r="E3254" i="1"/>
  <c r="H3254" i="1"/>
  <c r="I3254" i="1"/>
  <c r="A3283" i="1"/>
  <c r="B3283" i="1"/>
  <c r="E3283" i="1"/>
  <c r="H3283" i="1"/>
  <c r="I3283" i="1"/>
  <c r="A3284" i="1"/>
  <c r="B3284" i="1"/>
  <c r="E3284" i="1"/>
  <c r="H3284" i="1"/>
  <c r="I3284" i="1"/>
  <c r="A3281" i="1"/>
  <c r="B3281" i="1"/>
  <c r="E3281" i="1"/>
  <c r="H3281" i="1"/>
  <c r="I3281" i="1"/>
  <c r="A3282" i="1"/>
  <c r="B3282" i="1"/>
  <c r="E3282" i="1"/>
  <c r="H3282" i="1"/>
  <c r="I3282" i="1"/>
  <c r="A3259" i="1"/>
  <c r="B3259" i="1"/>
  <c r="E3259" i="1"/>
  <c r="H3259" i="1"/>
  <c r="I3259" i="1"/>
  <c r="A3260" i="1"/>
  <c r="B3260" i="1"/>
  <c r="E3260" i="1"/>
  <c r="H3260" i="1"/>
  <c r="I3260" i="1"/>
  <c r="A3251" i="1"/>
  <c r="B3251" i="1"/>
  <c r="E3251" i="1"/>
  <c r="H3251" i="1"/>
  <c r="I3251" i="1"/>
  <c r="A3252" i="1"/>
  <c r="B3252" i="1"/>
  <c r="E3252" i="1"/>
  <c r="H3252" i="1"/>
  <c r="I3252" i="1"/>
  <c r="A3290" i="1"/>
  <c r="B3290" i="1"/>
  <c r="E3290" i="1"/>
  <c r="H3290" i="1"/>
  <c r="I3290" i="1"/>
  <c r="A3291" i="1"/>
  <c r="B3291" i="1"/>
  <c r="E3291" i="1"/>
  <c r="H3291" i="1"/>
  <c r="I3291" i="1"/>
  <c r="A3179" i="1"/>
  <c r="B3179" i="1"/>
  <c r="E3179" i="1"/>
  <c r="H3179" i="1"/>
  <c r="I3179" i="1"/>
  <c r="A3157" i="1"/>
  <c r="B3157" i="1"/>
  <c r="E3157" i="1"/>
  <c r="H3157" i="1"/>
  <c r="I3157" i="1"/>
  <c r="A3169" i="1"/>
  <c r="B3169" i="1"/>
  <c r="E3169" i="1"/>
  <c r="H3169" i="1"/>
  <c r="I3169" i="1"/>
  <c r="A3197" i="1"/>
  <c r="B3197" i="1"/>
  <c r="E3197" i="1"/>
  <c r="H3197" i="1"/>
  <c r="I3197" i="1"/>
  <c r="A3173" i="1"/>
  <c r="B3173" i="1"/>
  <c r="E3173" i="1"/>
  <c r="H3173" i="1"/>
  <c r="I3173" i="1"/>
  <c r="A3175" i="1"/>
  <c r="B3175" i="1"/>
  <c r="E3175" i="1"/>
  <c r="H3175" i="1"/>
  <c r="I3175" i="1"/>
  <c r="A3159" i="1"/>
  <c r="B3159" i="1"/>
  <c r="E3159" i="1"/>
  <c r="H3159" i="1"/>
  <c r="I3159" i="1"/>
  <c r="A3187" i="1"/>
  <c r="B3187" i="1"/>
  <c r="E3187" i="1"/>
  <c r="H3187" i="1"/>
  <c r="I3187" i="1"/>
  <c r="A3189" i="1"/>
  <c r="B3189" i="1"/>
  <c r="E3189" i="1"/>
  <c r="H3189" i="1"/>
  <c r="I3189" i="1"/>
  <c r="A3191" i="1"/>
  <c r="B3191" i="1"/>
  <c r="E3191" i="1"/>
  <c r="H3191" i="1"/>
  <c r="I3191" i="1"/>
  <c r="A3185" i="1"/>
  <c r="B3185" i="1"/>
  <c r="E3185" i="1"/>
  <c r="H3185" i="1"/>
  <c r="I3185" i="1"/>
  <c r="A3183" i="1"/>
  <c r="B3183" i="1"/>
  <c r="E3183" i="1"/>
  <c r="H3183" i="1"/>
  <c r="I3183" i="1"/>
  <c r="A3181" i="1"/>
  <c r="B3181" i="1"/>
  <c r="E3181" i="1"/>
  <c r="H3181" i="1"/>
  <c r="I3181" i="1"/>
  <c r="A3163" i="1"/>
  <c r="B3163" i="1"/>
  <c r="E3163" i="1"/>
  <c r="H3163" i="1"/>
  <c r="I3163" i="1"/>
  <c r="A214" i="1"/>
  <c r="B214" i="1"/>
  <c r="E214" i="1"/>
  <c r="H214" i="1"/>
  <c r="I214" i="1"/>
  <c r="A215" i="1"/>
  <c r="B215" i="1"/>
  <c r="E215" i="1"/>
  <c r="H215" i="1"/>
  <c r="I215" i="1"/>
  <c r="A210" i="1"/>
  <c r="B210" i="1"/>
  <c r="E210" i="1"/>
  <c r="H210" i="1"/>
  <c r="I210" i="1"/>
  <c r="A216" i="1"/>
  <c r="B216" i="1"/>
  <c r="E216" i="1"/>
  <c r="H216" i="1"/>
  <c r="I216" i="1"/>
  <c r="A217" i="1"/>
  <c r="B217" i="1"/>
  <c r="E217" i="1"/>
  <c r="H217" i="1"/>
  <c r="I217" i="1"/>
  <c r="A208" i="1"/>
  <c r="B208" i="1"/>
  <c r="E208" i="1"/>
  <c r="H208" i="1"/>
  <c r="I208" i="1"/>
  <c r="A212" i="1"/>
  <c r="B212" i="1"/>
  <c r="E212" i="1"/>
  <c r="H212" i="1"/>
  <c r="I212" i="1"/>
  <c r="A211" i="1"/>
  <c r="B211" i="1"/>
  <c r="E211" i="1"/>
  <c r="H211" i="1"/>
  <c r="I211" i="1"/>
  <c r="A209" i="1"/>
  <c r="B209" i="1"/>
  <c r="E209" i="1"/>
  <c r="H209" i="1"/>
  <c r="I209" i="1"/>
  <c r="A213" i="1"/>
  <c r="B213" i="1"/>
  <c r="E213" i="1"/>
  <c r="H213" i="1"/>
  <c r="I213" i="1"/>
  <c r="A207" i="1"/>
  <c r="B207" i="1"/>
  <c r="E207" i="1"/>
  <c r="H207" i="1"/>
  <c r="I207" i="1"/>
  <c r="A2776" i="1"/>
  <c r="B2776" i="1"/>
  <c r="E2776" i="1"/>
  <c r="H2776" i="1"/>
  <c r="I2776" i="1"/>
  <c r="A160" i="1"/>
  <c r="B160" i="1"/>
  <c r="E160" i="1"/>
  <c r="H160" i="1"/>
  <c r="I160" i="1"/>
  <c r="A744" i="1"/>
  <c r="B744" i="1"/>
  <c r="E744" i="1"/>
  <c r="H744" i="1"/>
  <c r="I744" i="1"/>
  <c r="A766" i="1"/>
  <c r="B766" i="1"/>
  <c r="E766" i="1"/>
  <c r="H766" i="1"/>
  <c r="I766" i="1"/>
  <c r="A756" i="1"/>
  <c r="B756" i="1"/>
  <c r="E756" i="1"/>
  <c r="H756" i="1"/>
  <c r="I756" i="1"/>
  <c r="A3133" i="1"/>
  <c r="B3133" i="1"/>
  <c r="E3133" i="1"/>
  <c r="H3133" i="1"/>
  <c r="I3133" i="1"/>
  <c r="A1737" i="1"/>
  <c r="B1737" i="1"/>
  <c r="E1737" i="1"/>
  <c r="H1737" i="1"/>
  <c r="I1737" i="1"/>
  <c r="A1716" i="1"/>
  <c r="B1716" i="1"/>
  <c r="E1716" i="1"/>
  <c r="H1716" i="1"/>
  <c r="I1716" i="1"/>
  <c r="A1720" i="1"/>
  <c r="B1720" i="1"/>
  <c r="E1720" i="1"/>
  <c r="H1720" i="1"/>
  <c r="I1720" i="1"/>
  <c r="A1714" i="1"/>
  <c r="B1714" i="1"/>
  <c r="E1714" i="1"/>
  <c r="H1714" i="1"/>
  <c r="I1714" i="1"/>
  <c r="A1738" i="1"/>
  <c r="B1738" i="1"/>
  <c r="E1738" i="1"/>
  <c r="H1738" i="1"/>
  <c r="I1738" i="1"/>
  <c r="A3526" i="1"/>
  <c r="B3526" i="1"/>
  <c r="E3526" i="1"/>
  <c r="H3526" i="1"/>
  <c r="I3526" i="1"/>
  <c r="A3546" i="1"/>
  <c r="B3546" i="1"/>
  <c r="E3546" i="1"/>
  <c r="H3546" i="1"/>
  <c r="I3546" i="1"/>
  <c r="A3517" i="1"/>
  <c r="B3517" i="1"/>
  <c r="E3517" i="1"/>
  <c r="H3517" i="1"/>
  <c r="I3517" i="1"/>
  <c r="A879" i="1"/>
  <c r="B879" i="1"/>
  <c r="E879" i="1"/>
  <c r="H879" i="1"/>
  <c r="I879" i="1"/>
  <c r="A880" i="1"/>
  <c r="B880" i="1"/>
  <c r="E880" i="1"/>
  <c r="H880" i="1"/>
  <c r="I880" i="1"/>
  <c r="A2485" i="1"/>
  <c r="B2485" i="1"/>
  <c r="E2485" i="1"/>
  <c r="H2485" i="1"/>
  <c r="I2485" i="1"/>
  <c r="A2097" i="1"/>
  <c r="B2097" i="1"/>
  <c r="E2097" i="1"/>
  <c r="H2097" i="1"/>
  <c r="I2097" i="1"/>
  <c r="A2092" i="1"/>
  <c r="B2092" i="1"/>
  <c r="E2092" i="1"/>
  <c r="H2092" i="1"/>
  <c r="I2092" i="1"/>
  <c r="A2088" i="1"/>
  <c r="B2088" i="1"/>
  <c r="E2088" i="1"/>
  <c r="H2088" i="1"/>
  <c r="I2088" i="1"/>
  <c r="A2095" i="1"/>
  <c r="B2095" i="1"/>
  <c r="E2095" i="1"/>
  <c r="H2095" i="1"/>
  <c r="I2095" i="1"/>
  <c r="A2090" i="1"/>
  <c r="B2090" i="1"/>
  <c r="E2090" i="1"/>
  <c r="H2090" i="1"/>
  <c r="I2090" i="1"/>
  <c r="A671" i="1"/>
  <c r="B671" i="1"/>
  <c r="E671" i="1"/>
  <c r="H671" i="1"/>
  <c r="I671" i="1"/>
  <c r="A685" i="1"/>
  <c r="B685" i="1"/>
  <c r="E685" i="1"/>
  <c r="H685" i="1"/>
  <c r="I685" i="1"/>
  <c r="A673" i="1"/>
  <c r="B673" i="1"/>
  <c r="E673" i="1"/>
  <c r="H673" i="1"/>
  <c r="I673" i="1"/>
  <c r="A696" i="1"/>
  <c r="B696" i="1"/>
  <c r="E696" i="1"/>
  <c r="H696" i="1"/>
  <c r="I696" i="1"/>
  <c r="A699" i="1"/>
  <c r="B699" i="1"/>
  <c r="E699" i="1"/>
  <c r="H699" i="1"/>
  <c r="I699" i="1"/>
  <c r="A691" i="1"/>
  <c r="B691" i="1"/>
  <c r="E691" i="1"/>
  <c r="H691" i="1"/>
  <c r="I691" i="1"/>
  <c r="A689" i="1"/>
  <c r="B689" i="1"/>
  <c r="E689" i="1"/>
  <c r="H689" i="1"/>
  <c r="I689" i="1"/>
  <c r="A701" i="1"/>
  <c r="B701" i="1"/>
  <c r="E701" i="1"/>
  <c r="H701" i="1"/>
  <c r="I701" i="1"/>
  <c r="A3460" i="1"/>
  <c r="B3460" i="1"/>
  <c r="E3460" i="1"/>
  <c r="H3460" i="1"/>
  <c r="I3460" i="1"/>
  <c r="A2093" i="1"/>
  <c r="B2093" i="1"/>
  <c r="E2093" i="1"/>
  <c r="H2093" i="1"/>
  <c r="I2093" i="1"/>
  <c r="A2094" i="1"/>
  <c r="B2094" i="1"/>
  <c r="E2094" i="1"/>
  <c r="H2094" i="1"/>
  <c r="I2094" i="1"/>
  <c r="A2089" i="1"/>
  <c r="B2089" i="1"/>
  <c r="E2089" i="1"/>
  <c r="H2089" i="1"/>
  <c r="I2089" i="1"/>
  <c r="A2096" i="1"/>
  <c r="B2096" i="1"/>
  <c r="E2096" i="1"/>
  <c r="H2096" i="1"/>
  <c r="I2096" i="1"/>
  <c r="A2091" i="1"/>
  <c r="B2091" i="1"/>
  <c r="E2091" i="1"/>
  <c r="H2091" i="1"/>
  <c r="I2091" i="1"/>
  <c r="A2121" i="1"/>
  <c r="B2121" i="1"/>
  <c r="E2121" i="1"/>
  <c r="H2121" i="1"/>
  <c r="I2121" i="1"/>
  <c r="A2107" i="1"/>
  <c r="B2107" i="1"/>
  <c r="E2107" i="1"/>
  <c r="H2107" i="1"/>
  <c r="I2107" i="1"/>
  <c r="A2118" i="1"/>
  <c r="B2118" i="1"/>
  <c r="E2118" i="1"/>
  <c r="H2118" i="1"/>
  <c r="I2118" i="1"/>
  <c r="A2151" i="1"/>
  <c r="B2151" i="1"/>
  <c r="E2151" i="1"/>
  <c r="H2151" i="1"/>
  <c r="I2151" i="1"/>
  <c r="A2139" i="1"/>
  <c r="B2139" i="1"/>
  <c r="E2139" i="1"/>
  <c r="H2139" i="1"/>
  <c r="I2139" i="1"/>
  <c r="A2143" i="1"/>
  <c r="B2143" i="1"/>
  <c r="E2143" i="1"/>
  <c r="H2143" i="1"/>
  <c r="I2143" i="1"/>
  <c r="A2197" i="1"/>
  <c r="B2197" i="1"/>
  <c r="E2197" i="1"/>
  <c r="H2197" i="1"/>
  <c r="I2197" i="1"/>
  <c r="A2224" i="1"/>
  <c r="B2224" i="1"/>
  <c r="E2224" i="1"/>
  <c r="H2224" i="1"/>
  <c r="I2224" i="1"/>
  <c r="A2178" i="1"/>
  <c r="B2178" i="1"/>
  <c r="E2178" i="1"/>
  <c r="H2178" i="1"/>
  <c r="I2178" i="1"/>
  <c r="A2189" i="1"/>
  <c r="B2189" i="1"/>
  <c r="E2189" i="1"/>
  <c r="H2189" i="1"/>
  <c r="I2189" i="1"/>
  <c r="A2101" i="1"/>
  <c r="B2101" i="1"/>
  <c r="E2101" i="1"/>
  <c r="H2101" i="1"/>
  <c r="I2101" i="1"/>
  <c r="A2218" i="1"/>
  <c r="B2218" i="1"/>
  <c r="E2218" i="1"/>
  <c r="H2218" i="1"/>
  <c r="I2218" i="1"/>
  <c r="A2219" i="1"/>
  <c r="B2219" i="1"/>
  <c r="E2219" i="1"/>
  <c r="H2219" i="1"/>
  <c r="I2219" i="1"/>
  <c r="A2220" i="1"/>
  <c r="B2220" i="1"/>
  <c r="E2220" i="1"/>
  <c r="H2220" i="1"/>
  <c r="I2220" i="1"/>
  <c r="A2098" i="1"/>
  <c r="B2098" i="1"/>
  <c r="E2098" i="1"/>
  <c r="H2098" i="1"/>
  <c r="I2098" i="1"/>
  <c r="A2187" i="1"/>
  <c r="B2187" i="1"/>
  <c r="E2187" i="1"/>
  <c r="H2187" i="1"/>
  <c r="I2187" i="1"/>
  <c r="A3443" i="1"/>
  <c r="B3443" i="1"/>
  <c r="E3443" i="1"/>
  <c r="H3443" i="1"/>
  <c r="I3443" i="1"/>
  <c r="A1202" i="1"/>
  <c r="B1202" i="1"/>
  <c r="E1202" i="1"/>
  <c r="H1202" i="1"/>
  <c r="I1202" i="1"/>
  <c r="A1178" i="1"/>
  <c r="B1178" i="1"/>
  <c r="E1178" i="1"/>
  <c r="H1178" i="1"/>
  <c r="I1178" i="1"/>
  <c r="A256" i="1"/>
  <c r="B256" i="1"/>
  <c r="E256" i="1"/>
  <c r="H256" i="1"/>
  <c r="I256" i="1"/>
  <c r="A2763" i="1"/>
  <c r="B2763" i="1"/>
  <c r="E2763" i="1"/>
  <c r="H2763" i="1"/>
  <c r="I2763" i="1"/>
  <c r="A3451" i="1"/>
  <c r="B3451" i="1"/>
  <c r="E3451" i="1"/>
  <c r="H3451" i="1"/>
  <c r="I3451" i="1"/>
  <c r="A446" i="1"/>
  <c r="B446" i="1"/>
  <c r="E446" i="1"/>
  <c r="H446" i="1"/>
  <c r="I446" i="1"/>
  <c r="A440" i="1"/>
  <c r="B440" i="1"/>
  <c r="E440" i="1"/>
  <c r="H440" i="1"/>
  <c r="I440" i="1"/>
  <c r="A1947" i="1"/>
  <c r="B1947" i="1"/>
  <c r="E1947" i="1"/>
  <c r="H1947" i="1"/>
  <c r="I1947" i="1"/>
  <c r="A1949" i="1"/>
  <c r="B1949" i="1"/>
  <c r="E1949" i="1"/>
  <c r="H1949" i="1"/>
  <c r="I1949" i="1"/>
  <c r="A1952" i="1"/>
  <c r="B1952" i="1"/>
  <c r="E1952" i="1"/>
  <c r="H1952" i="1"/>
  <c r="I1952" i="1"/>
  <c r="A3516" i="1"/>
  <c r="B3516" i="1"/>
  <c r="E3516" i="1"/>
  <c r="H3516" i="1"/>
  <c r="I3516" i="1"/>
  <c r="A3524" i="1"/>
  <c r="B3524" i="1"/>
  <c r="E3524" i="1"/>
  <c r="H3524" i="1"/>
  <c r="I3524" i="1"/>
  <c r="A3520" i="1"/>
  <c r="B3520" i="1"/>
  <c r="E3520" i="1"/>
  <c r="H3520" i="1"/>
  <c r="I3520" i="1"/>
  <c r="A3541" i="1"/>
  <c r="B3541" i="1"/>
  <c r="E3541" i="1"/>
  <c r="H3541" i="1"/>
  <c r="I3541" i="1"/>
  <c r="A3527" i="1"/>
  <c r="B3527" i="1"/>
  <c r="E3527" i="1"/>
  <c r="H3527" i="1"/>
  <c r="I3527" i="1"/>
  <c r="A3547" i="1"/>
  <c r="B3547" i="1"/>
  <c r="E3547" i="1"/>
  <c r="H3547" i="1"/>
  <c r="I3547" i="1"/>
  <c r="A3537" i="1"/>
  <c r="B3537" i="1"/>
  <c r="E3537" i="1"/>
  <c r="H3537" i="1"/>
  <c r="I3537" i="1"/>
  <c r="A3549" i="1"/>
  <c r="B3549" i="1"/>
  <c r="E3549" i="1"/>
  <c r="H3549" i="1"/>
  <c r="I3549" i="1"/>
  <c r="A3553" i="1"/>
  <c r="B3553" i="1"/>
  <c r="E3553" i="1"/>
  <c r="H3553" i="1"/>
  <c r="I3553" i="1"/>
  <c r="A3542" i="1"/>
  <c r="B3542" i="1"/>
  <c r="E3542" i="1"/>
  <c r="H3542" i="1"/>
  <c r="I3542" i="1"/>
  <c r="A3518" i="1"/>
  <c r="B3518" i="1"/>
  <c r="E3518" i="1"/>
  <c r="H3518" i="1"/>
  <c r="I3518" i="1"/>
  <c r="A3522" i="1"/>
  <c r="B3522" i="1"/>
  <c r="E3522" i="1"/>
  <c r="H3522" i="1"/>
  <c r="I3522" i="1"/>
  <c r="A3555" i="1"/>
  <c r="B3555" i="1"/>
  <c r="E3555" i="1"/>
  <c r="H3555" i="1"/>
  <c r="I3555" i="1"/>
  <c r="A3551" i="1"/>
  <c r="B3551" i="1"/>
  <c r="E3551" i="1"/>
  <c r="H3551" i="1"/>
  <c r="I3551" i="1"/>
  <c r="A3557" i="1"/>
  <c r="B3557" i="1"/>
  <c r="E3557" i="1"/>
  <c r="H3557" i="1"/>
  <c r="I3557" i="1"/>
  <c r="A3560" i="1"/>
  <c r="B3560" i="1"/>
  <c r="E3560" i="1"/>
  <c r="H3560" i="1"/>
  <c r="I3560" i="1"/>
  <c r="A3565" i="1"/>
  <c r="B3565" i="1"/>
  <c r="E3565" i="1"/>
  <c r="H3565" i="1"/>
  <c r="I3565" i="1"/>
  <c r="A3558" i="1"/>
  <c r="B3558" i="1"/>
  <c r="E3558" i="1"/>
  <c r="H3558" i="1"/>
  <c r="I3558" i="1"/>
  <c r="A3567" i="1"/>
  <c r="B3567" i="1"/>
  <c r="E3567" i="1"/>
  <c r="H3567" i="1"/>
  <c r="I3567" i="1"/>
  <c r="A3562" i="1"/>
  <c r="B3562" i="1"/>
  <c r="E3562" i="1"/>
  <c r="H3562" i="1"/>
  <c r="I3562" i="1"/>
  <c r="A3566" i="1"/>
  <c r="B3566" i="1"/>
  <c r="E3566" i="1"/>
  <c r="H3566" i="1"/>
  <c r="I3566" i="1"/>
  <c r="A3569" i="1"/>
  <c r="B3569" i="1"/>
  <c r="E3569" i="1"/>
  <c r="H3569" i="1"/>
  <c r="I3569" i="1"/>
  <c r="A3570" i="1"/>
  <c r="B3570" i="1"/>
  <c r="E3570" i="1"/>
  <c r="H3570" i="1"/>
  <c r="I3570" i="1"/>
  <c r="A3599" i="1"/>
  <c r="B3599" i="1"/>
  <c r="E3599" i="1"/>
  <c r="H3599" i="1"/>
  <c r="I3599" i="1"/>
  <c r="A3595" i="1"/>
  <c r="B3595" i="1"/>
  <c r="E3595" i="1"/>
  <c r="H3595" i="1"/>
  <c r="I3595" i="1"/>
  <c r="A3592" i="1"/>
  <c r="B3592" i="1"/>
  <c r="E3592" i="1"/>
  <c r="H3592" i="1"/>
  <c r="I3592" i="1"/>
  <c r="A3602" i="1"/>
  <c r="B3602" i="1"/>
  <c r="E3602" i="1"/>
  <c r="H3602" i="1"/>
  <c r="I3602" i="1"/>
  <c r="A3593" i="1"/>
  <c r="B3593" i="1"/>
  <c r="E3593" i="1"/>
  <c r="H3593" i="1"/>
  <c r="I3593" i="1"/>
  <c r="A3603" i="1"/>
  <c r="B3603" i="1"/>
  <c r="E3603" i="1"/>
  <c r="H3603" i="1"/>
  <c r="I3603" i="1"/>
  <c r="A3597" i="1"/>
  <c r="B3597" i="1"/>
  <c r="E3597" i="1"/>
  <c r="H3597" i="1"/>
  <c r="I3597" i="1"/>
  <c r="A3605" i="1"/>
  <c r="B3605" i="1"/>
  <c r="E3605" i="1"/>
  <c r="H3605" i="1"/>
  <c r="I3605" i="1"/>
  <c r="A3607" i="1"/>
  <c r="B3607" i="1"/>
  <c r="E3607" i="1"/>
  <c r="H3607" i="1"/>
  <c r="I3607" i="1"/>
  <c r="A3611" i="1"/>
  <c r="B3611" i="1"/>
  <c r="E3611" i="1"/>
  <c r="H3611" i="1"/>
  <c r="I3611" i="1"/>
  <c r="A3609" i="1"/>
  <c r="B3609" i="1"/>
  <c r="E3609" i="1"/>
  <c r="H3609" i="1"/>
  <c r="I3609" i="1"/>
  <c r="A3610" i="1"/>
  <c r="B3610" i="1"/>
  <c r="E3610" i="1"/>
  <c r="H3610" i="1"/>
  <c r="I3610" i="1"/>
  <c r="A89" i="1"/>
  <c r="B89" i="1"/>
  <c r="E89" i="1"/>
  <c r="H89" i="1"/>
  <c r="I89" i="1"/>
  <c r="A86" i="1"/>
  <c r="B86" i="1"/>
  <c r="E86" i="1"/>
  <c r="H86" i="1"/>
  <c r="I86" i="1"/>
  <c r="A714" i="1"/>
  <c r="B714" i="1"/>
  <c r="E714" i="1"/>
  <c r="H714" i="1"/>
  <c r="I714" i="1"/>
  <c r="A1097" i="1"/>
  <c r="B1097" i="1"/>
  <c r="E1097" i="1"/>
  <c r="H1097" i="1"/>
  <c r="I1097" i="1"/>
  <c r="A1069" i="1"/>
  <c r="B1069" i="1"/>
  <c r="E1069" i="1"/>
  <c r="H1069" i="1"/>
  <c r="I1069" i="1"/>
  <c r="A2199" i="1"/>
  <c r="B2199" i="1"/>
  <c r="E2199" i="1"/>
  <c r="H2199" i="1"/>
  <c r="I2199" i="1"/>
  <c r="A2166" i="1"/>
  <c r="B2166" i="1"/>
  <c r="E2166" i="1"/>
  <c r="H2166" i="1"/>
  <c r="I2166" i="1"/>
  <c r="A2147" i="1"/>
  <c r="B2147" i="1"/>
  <c r="E2147" i="1"/>
  <c r="H2147" i="1"/>
  <c r="I2147" i="1"/>
  <c r="A2123" i="1"/>
  <c r="B2123" i="1"/>
  <c r="E2123" i="1"/>
  <c r="H2123" i="1"/>
  <c r="I2123" i="1"/>
  <c r="A2329" i="1"/>
  <c r="B2329" i="1"/>
  <c r="E2329" i="1"/>
  <c r="H2329" i="1"/>
  <c r="I2329" i="1"/>
  <c r="A2480" i="1"/>
  <c r="B2480" i="1"/>
  <c r="E2480" i="1"/>
  <c r="H2480" i="1"/>
  <c r="I2480" i="1"/>
  <c r="A2478" i="1"/>
  <c r="B2478" i="1"/>
  <c r="E2478" i="1"/>
  <c r="H2478" i="1"/>
  <c r="I2478" i="1"/>
  <c r="A2751" i="1"/>
  <c r="B2751" i="1"/>
  <c r="E2751" i="1"/>
  <c r="H2751" i="1"/>
  <c r="I2751" i="1"/>
  <c r="A1888" i="1"/>
  <c r="B1888" i="1"/>
  <c r="E1888" i="1"/>
  <c r="H1888" i="1"/>
  <c r="I1888" i="1"/>
  <c r="A1061" i="1"/>
  <c r="B1061" i="1"/>
  <c r="E1061" i="1"/>
  <c r="H1061" i="1"/>
  <c r="I1061" i="1"/>
  <c r="A128" i="1"/>
  <c r="B128" i="1"/>
  <c r="E128" i="1"/>
  <c r="H128" i="1"/>
  <c r="I128" i="1"/>
  <c r="A1712" i="1"/>
  <c r="B1712" i="1"/>
  <c r="E1712" i="1"/>
  <c r="H1712" i="1"/>
  <c r="I1712" i="1"/>
  <c r="A1753" i="1"/>
  <c r="B1753" i="1"/>
  <c r="E1753" i="1"/>
  <c r="H1753" i="1"/>
  <c r="I1753" i="1"/>
  <c r="A1767" i="1"/>
  <c r="B1767" i="1"/>
  <c r="E1767" i="1"/>
  <c r="H1767" i="1"/>
  <c r="I1767" i="1"/>
  <c r="A1729" i="1"/>
  <c r="B1729" i="1"/>
  <c r="E1729" i="1"/>
  <c r="H1729" i="1"/>
  <c r="I1729" i="1"/>
  <c r="A1739" i="1"/>
  <c r="B1739" i="1"/>
  <c r="E1739" i="1"/>
  <c r="H1739" i="1"/>
  <c r="I1739" i="1"/>
  <c r="A3539" i="1"/>
  <c r="B3539" i="1"/>
  <c r="E3539" i="1"/>
  <c r="H3539" i="1"/>
  <c r="I3539" i="1"/>
  <c r="A3540" i="1"/>
  <c r="B3540" i="1"/>
  <c r="E3540" i="1"/>
  <c r="H3540" i="1"/>
  <c r="I3540" i="1"/>
  <c r="A3543" i="1"/>
  <c r="B3543" i="1"/>
  <c r="E3543" i="1"/>
  <c r="H3543" i="1"/>
  <c r="I3543" i="1"/>
  <c r="A606" i="1"/>
  <c r="B606" i="1"/>
  <c r="E606" i="1"/>
  <c r="H606" i="1"/>
  <c r="I606" i="1"/>
  <c r="A3387" i="1"/>
  <c r="B3387" i="1"/>
  <c r="E3387" i="1"/>
  <c r="H3387" i="1"/>
  <c r="I3387" i="1"/>
  <c r="A114" i="1"/>
  <c r="B114" i="1"/>
  <c r="E114" i="1"/>
  <c r="H114" i="1"/>
  <c r="I114" i="1"/>
  <c r="A107" i="1"/>
  <c r="B107" i="1"/>
  <c r="E107" i="1"/>
  <c r="H107" i="1"/>
  <c r="I107" i="1"/>
  <c r="A119" i="1"/>
  <c r="B119" i="1"/>
  <c r="E119" i="1"/>
  <c r="H119" i="1"/>
  <c r="I119" i="1"/>
  <c r="A108" i="1"/>
  <c r="B108" i="1"/>
  <c r="E108" i="1"/>
  <c r="H108" i="1"/>
  <c r="I108" i="1"/>
  <c r="A115" i="1"/>
  <c r="B115" i="1"/>
  <c r="E115" i="1"/>
  <c r="H115" i="1"/>
  <c r="I115" i="1"/>
  <c r="A1941" i="1"/>
  <c r="B1941" i="1"/>
  <c r="E1941" i="1"/>
  <c r="H1941" i="1"/>
  <c r="I1941" i="1"/>
  <c r="A2701" i="1"/>
  <c r="B2701" i="1"/>
  <c r="E2701" i="1"/>
  <c r="H2701" i="1"/>
  <c r="I2701" i="1"/>
  <c r="A2702" i="1"/>
  <c r="B2702" i="1"/>
  <c r="E2702" i="1"/>
  <c r="H2702" i="1"/>
  <c r="I2702" i="1"/>
  <c r="A2703" i="1"/>
  <c r="B2703" i="1"/>
  <c r="E2703" i="1"/>
  <c r="H2703" i="1"/>
  <c r="I2703" i="1"/>
  <c r="A2716" i="1"/>
  <c r="B2716" i="1"/>
  <c r="E2716" i="1"/>
  <c r="H2716" i="1"/>
  <c r="I2716" i="1"/>
  <c r="A2717" i="1"/>
  <c r="B2717" i="1"/>
  <c r="E2717" i="1"/>
  <c r="H2717" i="1"/>
  <c r="I2717" i="1"/>
  <c r="A1189" i="1"/>
  <c r="B1189" i="1"/>
  <c r="E1189" i="1"/>
  <c r="H1189" i="1"/>
  <c r="I1189" i="1"/>
  <c r="A1171" i="1"/>
  <c r="B1171" i="1"/>
  <c r="E1171" i="1"/>
  <c r="H1171" i="1"/>
  <c r="I1171" i="1"/>
  <c r="A2455" i="1"/>
  <c r="B2455" i="1"/>
  <c r="E2455" i="1"/>
  <c r="H2455" i="1"/>
  <c r="I2455" i="1"/>
  <c r="A93" i="1"/>
  <c r="B93" i="1"/>
  <c r="E93" i="1"/>
  <c r="H93" i="1"/>
  <c r="I93" i="1"/>
  <c r="A3501" i="1"/>
  <c r="B3501" i="1"/>
  <c r="E3501" i="1"/>
  <c r="H3501" i="1"/>
  <c r="I3501" i="1"/>
  <c r="A3502" i="1"/>
  <c r="B3502" i="1"/>
  <c r="E3502" i="1"/>
  <c r="H3502" i="1"/>
  <c r="I3502" i="1"/>
  <c r="A3510" i="1"/>
  <c r="B3510" i="1"/>
  <c r="E3510" i="1"/>
  <c r="H3510" i="1"/>
  <c r="I3510" i="1"/>
  <c r="A3511" i="1"/>
  <c r="B3511" i="1"/>
  <c r="E3511" i="1"/>
  <c r="H3511" i="1"/>
  <c r="I3511" i="1"/>
  <c r="A63" i="1"/>
  <c r="B63" i="1"/>
  <c r="E63" i="1"/>
  <c r="H63" i="1"/>
  <c r="I63" i="1"/>
  <c r="A59" i="1"/>
  <c r="B59" i="1"/>
  <c r="E59" i="1"/>
  <c r="H59" i="1"/>
  <c r="I59" i="1"/>
  <c r="A734" i="1"/>
  <c r="B734" i="1"/>
  <c r="E734" i="1"/>
  <c r="H734" i="1"/>
  <c r="I734" i="1"/>
  <c r="A1142" i="1"/>
  <c r="B1142" i="1"/>
  <c r="E1142" i="1"/>
  <c r="H1142" i="1"/>
  <c r="I1142" i="1"/>
  <c r="A2152" i="1"/>
  <c r="B2152" i="1"/>
  <c r="E2152" i="1"/>
  <c r="H2152" i="1"/>
  <c r="I2152" i="1"/>
  <c r="A2174" i="1"/>
  <c r="B2174" i="1"/>
  <c r="E2174" i="1"/>
  <c r="H2174" i="1"/>
  <c r="I2174" i="1"/>
  <c r="A2140" i="1"/>
  <c r="B2140" i="1"/>
  <c r="E2140" i="1"/>
  <c r="H2140" i="1"/>
  <c r="I2140" i="1"/>
  <c r="A2141" i="1"/>
  <c r="B2141" i="1"/>
  <c r="E2141" i="1"/>
  <c r="H2141" i="1"/>
  <c r="I2141" i="1"/>
  <c r="A2321" i="1"/>
  <c r="B2321" i="1"/>
  <c r="E2321" i="1"/>
  <c r="H2321" i="1"/>
  <c r="I2321" i="1"/>
  <c r="A2470" i="1"/>
  <c r="B2470" i="1"/>
  <c r="E2470" i="1"/>
  <c r="H2470" i="1"/>
  <c r="I2470" i="1"/>
  <c r="A2733" i="1"/>
  <c r="B2733" i="1"/>
  <c r="E2733" i="1"/>
  <c r="H2733" i="1"/>
  <c r="I2733" i="1"/>
  <c r="A2745" i="1"/>
  <c r="B2745" i="1"/>
  <c r="E2745" i="1"/>
  <c r="H2745" i="1"/>
  <c r="I2745" i="1"/>
  <c r="A3046" i="1"/>
  <c r="B3046" i="1"/>
  <c r="E3046" i="1"/>
  <c r="H3046" i="1"/>
  <c r="I3046" i="1"/>
  <c r="A3105" i="1"/>
  <c r="B3105" i="1"/>
  <c r="E3105" i="1"/>
  <c r="H3105" i="1"/>
  <c r="I3105" i="1"/>
  <c r="A3096" i="1"/>
  <c r="B3096" i="1"/>
  <c r="E3096" i="1"/>
  <c r="H3096" i="1"/>
  <c r="I3096" i="1"/>
  <c r="A3098" i="1"/>
  <c r="B3098" i="1"/>
  <c r="E3098" i="1"/>
  <c r="H3098" i="1"/>
  <c r="I3098" i="1"/>
  <c r="A3308" i="1"/>
  <c r="B3308" i="1"/>
  <c r="E3308" i="1"/>
  <c r="H3308" i="1"/>
  <c r="I3308" i="1"/>
  <c r="A3415" i="1"/>
  <c r="B3415" i="1"/>
  <c r="E3415" i="1"/>
  <c r="H3415" i="1"/>
  <c r="I3415" i="1"/>
  <c r="A3418" i="1"/>
  <c r="B3418" i="1"/>
  <c r="E3418" i="1"/>
  <c r="H3418" i="1"/>
  <c r="I3418" i="1"/>
  <c r="A2988" i="1"/>
  <c r="B2988" i="1"/>
  <c r="E2988" i="1"/>
  <c r="H2988" i="1"/>
  <c r="I2988" i="1"/>
  <c r="A2989" i="1"/>
  <c r="B2989" i="1"/>
  <c r="E2989" i="1"/>
  <c r="H2989" i="1"/>
  <c r="I2989" i="1"/>
  <c r="A2985" i="1"/>
  <c r="B2985" i="1"/>
  <c r="E2985" i="1"/>
  <c r="H2985" i="1"/>
  <c r="I2985" i="1"/>
  <c r="A2986" i="1"/>
  <c r="B2986" i="1"/>
  <c r="E2986" i="1"/>
  <c r="H2986" i="1"/>
  <c r="I2986" i="1"/>
  <c r="A2972" i="1"/>
  <c r="B2972" i="1"/>
  <c r="E2972" i="1"/>
  <c r="H2972" i="1"/>
  <c r="I2972" i="1"/>
  <c r="A2973" i="1"/>
  <c r="B2973" i="1"/>
  <c r="E2973" i="1"/>
  <c r="H2973" i="1"/>
  <c r="I2973" i="1"/>
  <c r="A2987" i="1"/>
  <c r="B2987" i="1"/>
  <c r="E2987" i="1"/>
  <c r="H2987" i="1"/>
  <c r="I2987" i="1"/>
  <c r="A2073" i="1"/>
  <c r="B2073" i="1"/>
  <c r="E2073" i="1"/>
  <c r="H2073" i="1"/>
  <c r="I2073" i="1"/>
  <c r="A2045" i="1"/>
  <c r="B2045" i="1"/>
  <c r="E2045" i="1"/>
  <c r="H2045" i="1"/>
  <c r="I2045" i="1"/>
  <c r="A2065" i="1"/>
  <c r="B2065" i="1"/>
  <c r="E2065" i="1"/>
  <c r="H2065" i="1"/>
  <c r="I2065" i="1"/>
  <c r="A2978" i="1"/>
  <c r="B2978" i="1"/>
  <c r="E2978" i="1"/>
  <c r="H2978" i="1"/>
  <c r="I2978" i="1"/>
  <c r="A1375" i="1"/>
  <c r="B1375" i="1"/>
  <c r="E1375" i="1"/>
  <c r="H1375" i="1"/>
  <c r="I1375" i="1"/>
  <c r="A1392" i="1"/>
  <c r="B1392" i="1"/>
  <c r="E1392" i="1"/>
  <c r="H1392" i="1"/>
  <c r="I1392" i="1"/>
  <c r="A1393" i="1"/>
  <c r="B1393" i="1"/>
  <c r="E1393" i="1"/>
  <c r="H1393" i="1"/>
  <c r="I1393" i="1"/>
  <c r="A1329" i="1"/>
  <c r="B1329" i="1"/>
  <c r="E1329" i="1"/>
  <c r="H1329" i="1"/>
  <c r="I1329" i="1"/>
  <c r="A1410" i="1"/>
  <c r="B1410" i="1"/>
  <c r="E1410" i="1"/>
  <c r="H1410" i="1"/>
  <c r="I1410" i="1"/>
  <c r="A1413" i="1"/>
  <c r="B1413" i="1"/>
  <c r="E1413" i="1"/>
  <c r="H1413" i="1"/>
  <c r="I1413" i="1"/>
  <c r="A1376" i="1"/>
  <c r="B1376" i="1"/>
  <c r="E1376" i="1"/>
  <c r="H1376" i="1"/>
  <c r="I1376" i="1"/>
  <c r="A1403" i="1"/>
  <c r="B1403" i="1"/>
  <c r="E1403" i="1"/>
  <c r="H1403" i="1"/>
  <c r="I1403" i="1"/>
  <c r="A1365" i="1"/>
  <c r="B1365" i="1"/>
  <c r="E1365" i="1"/>
  <c r="H1365" i="1"/>
  <c r="I1365" i="1"/>
  <c r="A1401" i="1"/>
  <c r="B1401" i="1"/>
  <c r="E1401" i="1"/>
  <c r="H1401" i="1"/>
  <c r="I1401" i="1"/>
  <c r="A1353" i="1"/>
  <c r="B1353" i="1"/>
  <c r="E1353" i="1"/>
  <c r="H1353" i="1"/>
  <c r="I1353" i="1"/>
  <c r="A1344" i="1"/>
  <c r="B1344" i="1"/>
  <c r="E1344" i="1"/>
  <c r="H1344" i="1"/>
  <c r="I1344" i="1"/>
  <c r="A1321" i="1"/>
  <c r="B1321" i="1"/>
  <c r="E1321" i="1"/>
  <c r="H1321" i="1"/>
  <c r="I1321" i="1"/>
  <c r="A1323" i="1"/>
  <c r="B1323" i="1"/>
  <c r="E1323" i="1"/>
  <c r="H1323" i="1"/>
  <c r="I1323" i="1"/>
  <c r="A1347" i="1"/>
  <c r="B1347" i="1"/>
  <c r="E1347" i="1"/>
  <c r="H1347" i="1"/>
  <c r="I1347" i="1"/>
  <c r="A1341" i="1"/>
  <c r="B1341" i="1"/>
  <c r="E1341" i="1"/>
  <c r="H1341" i="1"/>
  <c r="I1341" i="1"/>
  <c r="A1330" i="1"/>
  <c r="B1330" i="1"/>
  <c r="E1330" i="1"/>
  <c r="H1330" i="1"/>
  <c r="I1330" i="1"/>
  <c r="A1351" i="1"/>
  <c r="B1351" i="1"/>
  <c r="E1351" i="1"/>
  <c r="H1351" i="1"/>
  <c r="I1351" i="1"/>
  <c r="A1336" i="1"/>
  <c r="B1336" i="1"/>
  <c r="E1336" i="1"/>
  <c r="H1336" i="1"/>
  <c r="I1336" i="1"/>
  <c r="A1363" i="1"/>
  <c r="B1363" i="1"/>
  <c r="E1363" i="1"/>
  <c r="H1363" i="1"/>
  <c r="I1363" i="1"/>
  <c r="A1355" i="1"/>
  <c r="B1355" i="1"/>
  <c r="E1355" i="1"/>
  <c r="H1355" i="1"/>
  <c r="I1355" i="1"/>
  <c r="A1319" i="1"/>
  <c r="B1319" i="1"/>
  <c r="E1319" i="1"/>
  <c r="H1319" i="1"/>
  <c r="I1319" i="1"/>
  <c r="A1382" i="1"/>
  <c r="B1382" i="1"/>
  <c r="E1382" i="1"/>
  <c r="H1382" i="1"/>
  <c r="I1382" i="1"/>
  <c r="A1397" i="1"/>
  <c r="B1397" i="1"/>
  <c r="E1397" i="1"/>
  <c r="H1397" i="1"/>
  <c r="I1397" i="1"/>
  <c r="A1361" i="1"/>
  <c r="B1361" i="1"/>
  <c r="E1361" i="1"/>
  <c r="H1361" i="1"/>
  <c r="I1361" i="1"/>
  <c r="A1359" i="1"/>
  <c r="B1359" i="1"/>
  <c r="E1359" i="1"/>
  <c r="H1359" i="1"/>
  <c r="I1359" i="1"/>
  <c r="A1405" i="1"/>
  <c r="B1405" i="1"/>
  <c r="E1405" i="1"/>
  <c r="H1405" i="1"/>
  <c r="I1405" i="1"/>
  <c r="A1373" i="1"/>
  <c r="B1373" i="1"/>
  <c r="E1373" i="1"/>
  <c r="H1373" i="1"/>
  <c r="I1373" i="1"/>
  <c r="A1331" i="1"/>
  <c r="B1331" i="1"/>
  <c r="E1331" i="1"/>
  <c r="H1331" i="1"/>
  <c r="I1331" i="1"/>
  <c r="A1332" i="1"/>
  <c r="B1332" i="1"/>
  <c r="E1332" i="1"/>
  <c r="H1332" i="1"/>
  <c r="I1332" i="1"/>
  <c r="A1378" i="1"/>
  <c r="B1378" i="1"/>
  <c r="E1378" i="1"/>
  <c r="H1378" i="1"/>
  <c r="I1378" i="1"/>
  <c r="A1369" i="1"/>
  <c r="B1369" i="1"/>
  <c r="E1369" i="1"/>
  <c r="H1369" i="1"/>
  <c r="I1369" i="1"/>
  <c r="A1394" i="1"/>
  <c r="B1394" i="1"/>
  <c r="E1394" i="1"/>
  <c r="H1394" i="1"/>
  <c r="I1394" i="1"/>
  <c r="A1333" i="1"/>
  <c r="B1333" i="1"/>
  <c r="E1333" i="1"/>
  <c r="H1333" i="1"/>
  <c r="I1333" i="1"/>
  <c r="A1395" i="1"/>
  <c r="B1395" i="1"/>
  <c r="E1395" i="1"/>
  <c r="H1395" i="1"/>
  <c r="I1395" i="1"/>
  <c r="A1334" i="1"/>
  <c r="B1334" i="1"/>
  <c r="E1334" i="1"/>
  <c r="H1334" i="1"/>
  <c r="I1334" i="1"/>
  <c r="A1411" i="1"/>
  <c r="B1411" i="1"/>
  <c r="E1411" i="1"/>
  <c r="H1411" i="1"/>
  <c r="I1411" i="1"/>
  <c r="A1388" i="1"/>
  <c r="B1388" i="1"/>
  <c r="E1388" i="1"/>
  <c r="H1388" i="1"/>
  <c r="I1388" i="1"/>
  <c r="A1380" i="1"/>
  <c r="B1380" i="1"/>
  <c r="E1380" i="1"/>
  <c r="H1380" i="1"/>
  <c r="I1380" i="1"/>
  <c r="A1371" i="1"/>
  <c r="B1371" i="1"/>
  <c r="E1371" i="1"/>
  <c r="H1371" i="1"/>
  <c r="I1371" i="1"/>
  <c r="A1384" i="1"/>
  <c r="B1384" i="1"/>
  <c r="E1384" i="1"/>
  <c r="H1384" i="1"/>
  <c r="I1384" i="1"/>
  <c r="A1390" i="1"/>
  <c r="B1390" i="1"/>
  <c r="E1390" i="1"/>
  <c r="H1390" i="1"/>
  <c r="I1390" i="1"/>
  <c r="A1385" i="1"/>
  <c r="B1385" i="1"/>
  <c r="E1385" i="1"/>
  <c r="H1385" i="1"/>
  <c r="I1385" i="1"/>
  <c r="A1342" i="1"/>
  <c r="B1342" i="1"/>
  <c r="E1342" i="1"/>
  <c r="H1342" i="1"/>
  <c r="I1342" i="1"/>
  <c r="A1367" i="1"/>
  <c r="B1367" i="1"/>
  <c r="E1367" i="1"/>
  <c r="H1367" i="1"/>
  <c r="I1367" i="1"/>
  <c r="A1357" i="1"/>
  <c r="B1357" i="1"/>
  <c r="E1357" i="1"/>
  <c r="H1357" i="1"/>
  <c r="I1357" i="1"/>
  <c r="A1399" i="1"/>
  <c r="B1399" i="1"/>
  <c r="E1399" i="1"/>
  <c r="H1399" i="1"/>
  <c r="I1399" i="1"/>
  <c r="A1349" i="1"/>
  <c r="B1349" i="1"/>
  <c r="E1349" i="1"/>
  <c r="H1349" i="1"/>
  <c r="I1349" i="1"/>
  <c r="A1407" i="1"/>
  <c r="B1407" i="1"/>
  <c r="E1407" i="1"/>
  <c r="H1407" i="1"/>
  <c r="I1407" i="1"/>
</calcChain>
</file>

<file path=xl/sharedStrings.xml><?xml version="1.0" encoding="utf-8"?>
<sst xmlns="http://schemas.openxmlformats.org/spreadsheetml/2006/main" count="3584" uniqueCount="12">
  <si>
    <t xml:space="preserve">              </t>
  </si>
  <si>
    <t xml:space="preserve">                                                                           </t>
  </si>
  <si>
    <t>Référentiel VHU/ICPE du 14/04/2026</t>
  </si>
  <si>
    <t>SIREN</t>
  </si>
  <si>
    <t>SIRET</t>
  </si>
  <si>
    <t>Raison social</t>
  </si>
  <si>
    <t>Département</t>
  </si>
  <si>
    <t>Agrément</t>
  </si>
  <si>
    <t>Date de début de validité</t>
  </si>
  <si>
    <t>Date de fin de validité</t>
  </si>
  <si>
    <t>Nom</t>
  </si>
  <si>
    <t>Prénom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</si>
</sst>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" fontId="16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495300</xdr:colOff>
      <xdr:row>0</xdr:row>
      <xdr:rowOff>76200</xdr:rowOff>
    </xdr:from>
    <xdr:to>
      <xdr:col>1</xdr:col>
      <xdr:colOff>1998636</xdr:colOff>
      <xdr:row>4</xdr:row>
      <xdr:rowOff>76306</xdr:rowOff>
    </xdr:to>
    <xdr:pic>
      <xdr:nvPicPr>
        <xdr:cNvPr id="2" name="Imag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76200"/>
          <a:ext cx="2086266" cy="762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11"/>
  <sheetViews>
    <sheetView tabSelected="1" workbookViewId="0">
      <selection activeCell="D15" sqref="D15"/>
    </sheetView>
  </sheetViews>
  <sheetFormatPr baseColWidth="10" defaultRowHeight="14.4" x14ac:dyDescent="0.3"/>
  <cols>
    <col min="1" max="1" width="8.88671875" style="1" customWidth="1"/>
    <col min="2" max="2" width="68.21875" style="4" bestFit="1" customWidth="1"/>
    <col min="3" max="3" width="11" style="4" bestFit="1" customWidth="1"/>
    <col min="4" max="4" width="15" style="3" bestFit="1" customWidth="1"/>
    <col min="5" max="5" width="15" style="2" bestFit="1" customWidth="1"/>
    <col min="6" max="6" width="14.5546875" style="4" customWidth="1"/>
    <col min="7" max="7" width="15.21875" style="4" customWidth="1"/>
    <col min="8" max="8" width="15.109375" style="4" customWidth="1"/>
    <col min="9" max="9" width="23.33203125" style="4" customWidth="1"/>
  </cols>
  <sheetData>
    <row r="1" spans="1:9" x14ac:dyDescent="0.3">
      <c r="A1" s="6"/>
      <c r="B1" s="6"/>
      <c r="C1" s="6"/>
      <c r="D1" s="6"/>
      <c r="E1" s="6"/>
      <c r="F1" s="6"/>
      <c r="G1" s="6"/>
      <c r="H1" s="6"/>
      <c r="I1" s="6"/>
    </row>
    <row r="2" spans="1:9" x14ac:dyDescent="0.3">
      <c r="A2" s="6"/>
      <c r="B2" s="6"/>
      <c r="C2" s="6"/>
      <c r="D2" s="6"/>
      <c r="E2" s="6"/>
      <c r="F2" s="6"/>
      <c r="G2" s="6"/>
      <c r="H2" s="6"/>
      <c r="I2" s="6"/>
    </row>
    <row r="3" spans="1:9" x14ac:dyDescent="0.3">
      <c r="A3" s="6"/>
      <c r="B3" s="6"/>
      <c r="C3" s="6"/>
      <c r="D3" s="6"/>
      <c r="E3" s="6"/>
      <c r="F3" s="6"/>
      <c r="G3" s="6"/>
      <c r="H3" s="6"/>
      <c r="I3" s="6"/>
    </row>
    <row r="4" spans="1:9" x14ac:dyDescent="0.3">
      <c r="A4" s="6"/>
      <c r="B4" s="6"/>
      <c r="C4" s="6"/>
      <c r="D4" s="6"/>
      <c r="E4" s="6"/>
      <c r="F4" s="6"/>
      <c r="G4" s="6"/>
      <c r="H4" s="6"/>
      <c r="I4" s="6"/>
    </row>
    <row r="5" spans="1:9" x14ac:dyDescent="0.3">
      <c r="A5" s="6"/>
      <c r="B5" s="6"/>
      <c r="C5" s="6"/>
      <c r="D5" s="6"/>
      <c r="E5" s="6"/>
      <c r="F5" s="6"/>
      <c r="G5" s="6"/>
      <c r="H5" s="6"/>
      <c r="I5" s="6"/>
    </row>
    <row r="6" spans="1:9" x14ac:dyDescent="0.3">
      <c r="A6" s="6"/>
      <c r="B6" s="6"/>
      <c r="C6" s="6"/>
      <c r="D6" s="6"/>
      <c r="E6" s="6"/>
      <c r="F6" s="6"/>
      <c r="G6" s="6"/>
      <c r="H6" s="6"/>
      <c r="I6" s="6"/>
    </row>
    <row r="7" spans="1:9" ht="19.8" x14ac:dyDescent="0.3">
      <c r="A7" s="12" t="s">
        <v>2</v>
      </c>
      <c r="B7" s="12"/>
      <c r="C7" s="12"/>
      <c r="D7" s="12"/>
      <c r="E7" s="12"/>
      <c r="F7" s="12"/>
      <c r="G7" s="12"/>
      <c r="H7" s="12"/>
      <c r="I7" s="12"/>
    </row>
    <row r="9" spans="1:9" s="7" customFormat="1" ht="28.8" x14ac:dyDescent="0.3">
      <c r="A9" s="8" t="s">
        <v>6</v>
      </c>
      <c r="B9" s="9" t="s">
        <v>5</v>
      </c>
      <c r="C9" s="9" t="s">
        <v>3</v>
      </c>
      <c r="D9" s="11" t="s">
        <v>4</v>
      </c>
      <c r="E9" s="10" t="s">
        <v>7</v>
      </c>
      <c r="F9" s="8" t="s">
        <v>8</v>
      </c>
      <c r="G9" s="8" t="s">
        <v>9</v>
      </c>
      <c r="H9" s="9" t="s">
        <v>10</v>
      </c>
      <c r="I9" s="9" t="s">
        <v>11</v>
      </c>
    </row>
    <row r="10" spans="1:9" x14ac:dyDescent="0.3">
      <c r="A10" s="1" t="str">
        <f>"01"</f>
        <v>01</v>
      </c>
      <c r="B10" s="4" t="str">
        <f>"SARL AUTO PIECES GUY VOISIN"</f>
        <v>SARL AUTO PIECES GUY VOISIN</v>
      </c>
      <c r="C10" s="4">
        <v>338115132</v>
      </c>
      <c r="D10" s="3" t="s">
        <v>0</v>
      </c>
      <c r="E10" s="2" t="str">
        <f>"PR0100002D"</f>
        <v>PR0100002D</v>
      </c>
      <c r="F10" s="5">
        <v>38916</v>
      </c>
      <c r="G10" s="5">
        <v>54789</v>
      </c>
      <c r="H10" s="4" t="str">
        <f>""</f>
        <v/>
      </c>
      <c r="I10" s="4" t="str">
        <f>""</f>
        <v/>
      </c>
    </row>
    <row r="11" spans="1:9" x14ac:dyDescent="0.3">
      <c r="A11" s="1" t="str">
        <f>"01"</f>
        <v>01</v>
      </c>
      <c r="B11" s="4" t="str">
        <f>"SARL AUTO PIECES GUY VOISIN"</f>
        <v>SARL AUTO PIECES GUY VOISIN</v>
      </c>
      <c r="C11" s="4">
        <v>338115132</v>
      </c>
      <c r="D11" s="3" t="s">
        <v>0</v>
      </c>
      <c r="E11" s="2" t="str">
        <f>"0006102008"</f>
        <v>0006102008</v>
      </c>
      <c r="F11" s="5">
        <v>38916</v>
      </c>
      <c r="G11" s="5">
        <v>54789</v>
      </c>
      <c r="H11" s="4" t="str">
        <f>""</f>
        <v/>
      </c>
      <c r="I11" s="4" t="str">
        <f>""</f>
        <v/>
      </c>
    </row>
    <row r="12" spans="1:9" x14ac:dyDescent="0.3">
      <c r="A12" s="1" t="str">
        <f>"01"</f>
        <v>01</v>
      </c>
      <c r="B12" s="4" t="str">
        <f>"ETS JACQUET et FILS"</f>
        <v>ETS JACQUET et FILS</v>
      </c>
      <c r="C12" s="4">
        <v>339229262</v>
      </c>
      <c r="D12" s="3" t="s">
        <v>0</v>
      </c>
      <c r="E12" s="2" t="str">
        <f>"PR0100019D"</f>
        <v>PR0100019D</v>
      </c>
      <c r="F12" s="5">
        <v>40544</v>
      </c>
      <c r="G12" s="5">
        <v>54789</v>
      </c>
      <c r="H12" s="4" t="str">
        <f>""</f>
        <v/>
      </c>
      <c r="I12" s="4" t="str">
        <f>""</f>
        <v/>
      </c>
    </row>
    <row r="13" spans="1:9" x14ac:dyDescent="0.3">
      <c r="A13" s="1" t="str">
        <f>"01"</f>
        <v>01</v>
      </c>
      <c r="B13" s="4" t="str">
        <f>"ETS JACQUET et FILS"</f>
        <v>ETS JACQUET et FILS</v>
      </c>
      <c r="C13" s="4">
        <v>339229262</v>
      </c>
      <c r="D13" s="3" t="s">
        <v>0</v>
      </c>
      <c r="E13" s="2" t="str">
        <f>"0006109400"</f>
        <v>0006109400</v>
      </c>
      <c r="F13" s="5">
        <v>40544</v>
      </c>
      <c r="G13" s="5">
        <v>54789</v>
      </c>
      <c r="H13" s="4" t="str">
        <f>""</f>
        <v/>
      </c>
      <c r="I13" s="4" t="str">
        <f>""</f>
        <v/>
      </c>
    </row>
    <row r="14" spans="1:9" x14ac:dyDescent="0.3">
      <c r="A14" s="1" t="str">
        <f>"01"</f>
        <v>01</v>
      </c>
      <c r="B14" s="4" t="str">
        <f>"SAS ETABLISSEMENTS MARCELPOIL"</f>
        <v>SAS ETABLISSEMENTS MARCELPOIL</v>
      </c>
      <c r="C14" s="4">
        <v>348761982</v>
      </c>
      <c r="D14" s="3" t="s">
        <v>0</v>
      </c>
      <c r="E14" s="2" t="str">
        <f>"PR0100008D"</f>
        <v>PR0100008D</v>
      </c>
      <c r="F14" s="5">
        <v>41978</v>
      </c>
      <c r="G14" s="5">
        <v>54789</v>
      </c>
      <c r="H14" s="4" t="str">
        <f>""</f>
        <v/>
      </c>
      <c r="I14" s="4" t="str">
        <f>""</f>
        <v/>
      </c>
    </row>
    <row r="15" spans="1:9" x14ac:dyDescent="0.3">
      <c r="A15" s="1" t="str">
        <f>"01"</f>
        <v>01</v>
      </c>
      <c r="B15" s="4" t="str">
        <f>"SAS ETABLISSEMENTS MARCELPOIL"</f>
        <v>SAS ETABLISSEMENTS MARCELPOIL</v>
      </c>
      <c r="C15" s="4">
        <v>348761982</v>
      </c>
      <c r="D15" s="3" t="s">
        <v>0</v>
      </c>
      <c r="E15" s="2" t="str">
        <f>"0006101975"</f>
        <v>0006101975</v>
      </c>
      <c r="F15" s="5">
        <v>41978</v>
      </c>
      <c r="G15" s="5">
        <v>54789</v>
      </c>
      <c r="H15" s="4" t="str">
        <f>""</f>
        <v/>
      </c>
      <c r="I15" s="4" t="str">
        <f>""</f>
        <v/>
      </c>
    </row>
    <row r="16" spans="1:9" x14ac:dyDescent="0.3">
      <c r="A16" s="1" t="str">
        <f>"01"</f>
        <v>01</v>
      </c>
      <c r="B16" s="4" t="str">
        <f>"PELLETIER Marie-Claude Engeline"</f>
        <v>PELLETIER Marie-Claude Engeline</v>
      </c>
      <c r="C16" s="4">
        <v>378227524</v>
      </c>
      <c r="D16" s="3" t="s">
        <v>0</v>
      </c>
      <c r="E16" s="2" t="str">
        <f>"PR0100018D"</f>
        <v>PR0100018D</v>
      </c>
      <c r="F16" s="5">
        <v>39997</v>
      </c>
      <c r="G16" s="5">
        <v>54789</v>
      </c>
      <c r="H16" s="4" t="str">
        <f>"PELLETIER"</f>
        <v>PELLETIER</v>
      </c>
      <c r="I16" s="4" t="str">
        <f>"Marie-Claude Engeline"</f>
        <v>Marie-Claude Engeline</v>
      </c>
    </row>
    <row r="17" spans="1:9" x14ac:dyDescent="0.3">
      <c r="A17" s="1" t="str">
        <f>"01"</f>
        <v>01</v>
      </c>
      <c r="B17" s="4" t="str">
        <f>"PELLETIER Marie-Claude Engeline"</f>
        <v>PELLETIER Marie-Claude Engeline</v>
      </c>
      <c r="C17" s="4">
        <v>378227524</v>
      </c>
      <c r="D17" s="3" t="s">
        <v>0</v>
      </c>
      <c r="E17" s="2" t="str">
        <f>"0006102171"</f>
        <v>0006102171</v>
      </c>
      <c r="F17" s="5">
        <v>39997</v>
      </c>
      <c r="G17" s="5">
        <v>54789</v>
      </c>
      <c r="H17" s="4" t="str">
        <f>"PELLETIER"</f>
        <v>PELLETIER</v>
      </c>
      <c r="I17" s="4" t="str">
        <f>"Marie-Claude Engeline"</f>
        <v>Marie-Claude Engeline</v>
      </c>
    </row>
    <row r="18" spans="1:9" x14ac:dyDescent="0.3">
      <c r="A18" s="1" t="str">
        <f>"01"</f>
        <v>01</v>
      </c>
      <c r="B18" s="4" t="str">
        <f>"SAS C. SERRAND"</f>
        <v>SAS C. SERRAND</v>
      </c>
      <c r="C18" s="4">
        <v>382069037</v>
      </c>
      <c r="D18" s="3" t="s">
        <v>0</v>
      </c>
      <c r="E18" s="2" t="str">
        <f>"PR0100014D"</f>
        <v>PR0100014D</v>
      </c>
      <c r="F18" s="5">
        <v>41432</v>
      </c>
      <c r="G18" s="5">
        <v>54789</v>
      </c>
      <c r="H18" s="4" t="str">
        <f>""</f>
        <v/>
      </c>
      <c r="I18" s="4" t="str">
        <f>""</f>
        <v/>
      </c>
    </row>
    <row r="19" spans="1:9" x14ac:dyDescent="0.3">
      <c r="A19" s="1" t="str">
        <f>"01"</f>
        <v>01</v>
      </c>
      <c r="B19" s="4" t="str">
        <f>"SAS C. SERRAND"</f>
        <v>SAS C. SERRAND</v>
      </c>
      <c r="C19" s="4">
        <v>382069037</v>
      </c>
      <c r="D19" s="3" t="s">
        <v>0</v>
      </c>
      <c r="E19" s="2" t="str">
        <f>"0006102087"</f>
        <v>0006102087</v>
      </c>
      <c r="F19" s="5">
        <v>41432</v>
      </c>
      <c r="G19" s="5">
        <v>54789</v>
      </c>
      <c r="H19" s="4" t="str">
        <f>""</f>
        <v/>
      </c>
      <c r="I19" s="4" t="str">
        <f>""</f>
        <v/>
      </c>
    </row>
    <row r="20" spans="1:9" x14ac:dyDescent="0.3">
      <c r="A20" s="1" t="str">
        <f>"01"</f>
        <v>01</v>
      </c>
      <c r="B20" s="4" t="str">
        <f>"SARL LVA AUTO PIECES"</f>
        <v>SARL LVA AUTO PIECES</v>
      </c>
      <c r="C20" s="4">
        <v>393534995</v>
      </c>
      <c r="D20" s="3" t="s">
        <v>0</v>
      </c>
      <c r="E20" s="2" t="str">
        <f>"PR0100024D"</f>
        <v>PR0100024D</v>
      </c>
      <c r="F20" s="5">
        <v>41963</v>
      </c>
      <c r="G20" s="5">
        <v>54789</v>
      </c>
      <c r="H20" s="4" t="str">
        <f>""</f>
        <v/>
      </c>
      <c r="I20" s="4" t="str">
        <f>""</f>
        <v/>
      </c>
    </row>
    <row r="21" spans="1:9" x14ac:dyDescent="0.3">
      <c r="A21" s="1" t="str">
        <f>"01"</f>
        <v>01</v>
      </c>
      <c r="B21" s="4" t="str">
        <f>"SARL LVA AUTO PIECES"</f>
        <v>SARL LVA AUTO PIECES</v>
      </c>
      <c r="C21" s="4">
        <v>393534995</v>
      </c>
      <c r="D21" s="3" t="s">
        <v>0</v>
      </c>
      <c r="E21" s="2" t="str">
        <f>"0006113497"</f>
        <v>0006113497</v>
      </c>
      <c r="F21" s="5">
        <v>41963</v>
      </c>
      <c r="G21" s="5">
        <v>54789</v>
      </c>
      <c r="H21" s="4" t="str">
        <f>""</f>
        <v/>
      </c>
      <c r="I21" s="4" t="str">
        <f>""</f>
        <v/>
      </c>
    </row>
    <row r="22" spans="1:9" x14ac:dyDescent="0.3">
      <c r="A22" s="1" t="str">
        <f>"01"</f>
        <v>01</v>
      </c>
      <c r="B22" s="4" t="str">
        <f>"SAS 4AS"</f>
        <v>SAS 4AS</v>
      </c>
      <c r="C22" s="4">
        <v>397502584</v>
      </c>
      <c r="D22" s="3" t="s">
        <v>0</v>
      </c>
      <c r="E22" s="2" t="str">
        <f>"PR0100010D"</f>
        <v>PR0100010D</v>
      </c>
      <c r="F22" s="5">
        <v>39127</v>
      </c>
      <c r="G22" s="5">
        <v>54789</v>
      </c>
      <c r="H22" s="4" t="str">
        <f>""</f>
        <v/>
      </c>
      <c r="I22" s="4" t="str">
        <f>""</f>
        <v/>
      </c>
    </row>
    <row r="23" spans="1:9" x14ac:dyDescent="0.3">
      <c r="A23" s="1" t="str">
        <f>"01"</f>
        <v>01</v>
      </c>
      <c r="B23" s="4" t="str">
        <f>"SAS 4AS"</f>
        <v>SAS 4AS</v>
      </c>
      <c r="C23" s="4">
        <v>397502584</v>
      </c>
      <c r="D23" s="3" t="s">
        <v>0</v>
      </c>
      <c r="E23" s="2" t="str">
        <f>"0006102060"</f>
        <v>0006102060</v>
      </c>
      <c r="F23" s="5">
        <v>39127</v>
      </c>
      <c r="G23" s="5">
        <v>54789</v>
      </c>
      <c r="H23" s="4" t="str">
        <f>""</f>
        <v/>
      </c>
      <c r="I23" s="4" t="str">
        <f>""</f>
        <v/>
      </c>
    </row>
    <row r="24" spans="1:9" x14ac:dyDescent="0.3">
      <c r="A24" s="1" t="str">
        <f>"01"</f>
        <v>01</v>
      </c>
      <c r="B24" s="4" t="str">
        <f>"SAS CALARD FRERES"</f>
        <v>SAS CALARD FRERES</v>
      </c>
      <c r="C24" s="4">
        <v>408018729</v>
      </c>
      <c r="D24" s="3" t="s">
        <v>0</v>
      </c>
      <c r="E24" s="2" t="str">
        <f>"PR0100023D"</f>
        <v>PR0100023D</v>
      </c>
      <c r="F24" s="5">
        <v>41199</v>
      </c>
      <c r="G24" s="5">
        <v>54789</v>
      </c>
      <c r="H24" s="4" t="str">
        <f>""</f>
        <v/>
      </c>
      <c r="I24" s="4" t="str">
        <f>""</f>
        <v/>
      </c>
    </row>
    <row r="25" spans="1:9" x14ac:dyDescent="0.3">
      <c r="A25" s="1" t="str">
        <f>"01"</f>
        <v>01</v>
      </c>
      <c r="B25" s="4" t="str">
        <f>"SAS CALARD FRERES"</f>
        <v>SAS CALARD FRERES</v>
      </c>
      <c r="C25" s="4">
        <v>408018729</v>
      </c>
      <c r="D25" s="3" t="s">
        <v>0</v>
      </c>
      <c r="E25" s="2" t="str">
        <f>"0010100237"</f>
        <v>0010100237</v>
      </c>
      <c r="F25" s="5">
        <v>41199</v>
      </c>
      <c r="G25" s="5">
        <v>54789</v>
      </c>
      <c r="H25" s="4" t="str">
        <f>""</f>
        <v/>
      </c>
      <c r="I25" s="4" t="str">
        <f>""</f>
        <v/>
      </c>
    </row>
    <row r="26" spans="1:9" x14ac:dyDescent="0.3">
      <c r="A26" s="1" t="str">
        <f>"01"</f>
        <v>01</v>
      </c>
      <c r="B26" s="4" t="str">
        <f>"SARL CALARD FRERES"</f>
        <v>SARL CALARD FRERES</v>
      </c>
      <c r="C26" s="4">
        <v>408018729</v>
      </c>
      <c r="D26" s="3" t="s">
        <v>0</v>
      </c>
      <c r="E26" s="2" t="str">
        <f>"PR0100001D"</f>
        <v>PR0100001D</v>
      </c>
      <c r="F26" s="5">
        <v>43766</v>
      </c>
      <c r="G26" s="5">
        <v>54789</v>
      </c>
      <c r="H26" s="4" t="str">
        <f>""</f>
        <v/>
      </c>
      <c r="I26" s="4" t="str">
        <f>""</f>
        <v/>
      </c>
    </row>
    <row r="27" spans="1:9" x14ac:dyDescent="0.3">
      <c r="A27" s="1" t="str">
        <f>"01"</f>
        <v>01</v>
      </c>
      <c r="B27" s="4" t="str">
        <f>"SARL CALARD FRERES"</f>
        <v>SARL CALARD FRERES</v>
      </c>
      <c r="C27" s="4">
        <v>408018729</v>
      </c>
      <c r="D27" s="3" t="s">
        <v>0</v>
      </c>
      <c r="E27" s="2" t="str">
        <f>"0006101986"</f>
        <v>0006101986</v>
      </c>
      <c r="F27" s="5">
        <v>43766</v>
      </c>
      <c r="G27" s="5">
        <v>54789</v>
      </c>
      <c r="H27" s="4" t="str">
        <f>""</f>
        <v/>
      </c>
      <c r="I27" s="4" t="str">
        <f>""</f>
        <v/>
      </c>
    </row>
    <row r="28" spans="1:9" x14ac:dyDescent="0.3">
      <c r="A28" s="1" t="str">
        <f>"01"</f>
        <v>01</v>
      </c>
      <c r="B28" s="4" t="str">
        <f>"SARL B.F.M RECUPERATION"</f>
        <v>SARL B.F.M RECUPERATION</v>
      </c>
      <c r="C28" s="4">
        <v>499331601</v>
      </c>
      <c r="D28" s="3" t="s">
        <v>0</v>
      </c>
      <c r="E28" s="2" t="str">
        <f>"PR0100022D"</f>
        <v>PR0100022D</v>
      </c>
      <c r="F28" s="5">
        <v>41002</v>
      </c>
      <c r="G28" s="5">
        <v>54789</v>
      </c>
      <c r="H28" s="4" t="str">
        <f>""</f>
        <v/>
      </c>
      <c r="I28" s="4" t="str">
        <f>""</f>
        <v/>
      </c>
    </row>
    <row r="29" spans="1:9" x14ac:dyDescent="0.3">
      <c r="A29" s="1" t="str">
        <f>"01"</f>
        <v>01</v>
      </c>
      <c r="B29" s="4" t="str">
        <f>"SARL B.F.M RECUPERATION"</f>
        <v>SARL B.F.M RECUPERATION</v>
      </c>
      <c r="C29" s="4">
        <v>499331601</v>
      </c>
      <c r="D29" s="3" t="s">
        <v>0</v>
      </c>
      <c r="E29" s="2" t="str">
        <f>"0006108846"</f>
        <v>0006108846</v>
      </c>
      <c r="F29" s="5">
        <v>41002</v>
      </c>
      <c r="G29" s="5">
        <v>54789</v>
      </c>
      <c r="H29" s="4" t="str">
        <f>""</f>
        <v/>
      </c>
      <c r="I29" s="4" t="str">
        <f>""</f>
        <v/>
      </c>
    </row>
    <row r="30" spans="1:9" x14ac:dyDescent="0.3">
      <c r="A30" s="1" t="str">
        <f>"01"</f>
        <v>01</v>
      </c>
      <c r="B30" s="4" t="str">
        <f>"SARL BAKEH"</f>
        <v>SARL BAKEH</v>
      </c>
      <c r="C30" s="4">
        <v>500028618</v>
      </c>
      <c r="D30" s="3" t="s">
        <v>0</v>
      </c>
      <c r="E30" s="2" t="str">
        <f>"PR0100013D"</f>
        <v>PR0100013D</v>
      </c>
      <c r="F30" s="5">
        <v>39188</v>
      </c>
      <c r="G30" s="5">
        <v>54789</v>
      </c>
      <c r="H30" s="4" t="str">
        <f>""</f>
        <v/>
      </c>
      <c r="I30" s="4" t="str">
        <f>""</f>
        <v/>
      </c>
    </row>
    <row r="31" spans="1:9" x14ac:dyDescent="0.3">
      <c r="A31" s="1" t="str">
        <f>"01"</f>
        <v>01</v>
      </c>
      <c r="B31" s="4" t="str">
        <f>"SARL BAKEH"</f>
        <v>SARL BAKEH</v>
      </c>
      <c r="C31" s="4">
        <v>500028618</v>
      </c>
      <c r="D31" s="3" t="s">
        <v>0</v>
      </c>
      <c r="E31" s="2" t="str">
        <f>"0006102107"</f>
        <v>0006102107</v>
      </c>
      <c r="F31" s="5">
        <v>39188</v>
      </c>
      <c r="G31" s="5">
        <v>54789</v>
      </c>
      <c r="H31" s="4" t="str">
        <f>""</f>
        <v/>
      </c>
      <c r="I31" s="4" t="str">
        <f>""</f>
        <v/>
      </c>
    </row>
    <row r="32" spans="1:9" x14ac:dyDescent="0.3">
      <c r="A32" s="1" t="str">
        <f>"01"</f>
        <v>01</v>
      </c>
      <c r="B32" s="4" t="str">
        <f>"SARL AUTO DEMOLITION CHINIARD"</f>
        <v>SARL AUTO DEMOLITION CHINIARD</v>
      </c>
      <c r="C32" s="4">
        <v>502272867</v>
      </c>
      <c r="D32" s="3" t="s">
        <v>0</v>
      </c>
      <c r="E32" s="2" t="str">
        <f>"PR0100006D"</f>
        <v>PR0100006D</v>
      </c>
      <c r="F32" s="5">
        <v>41422</v>
      </c>
      <c r="G32" s="5">
        <v>54789</v>
      </c>
      <c r="H32" s="4" t="str">
        <f>""</f>
        <v/>
      </c>
      <c r="I32" s="4" t="str">
        <f>""</f>
        <v/>
      </c>
    </row>
    <row r="33" spans="1:9" x14ac:dyDescent="0.3">
      <c r="A33" s="1" t="str">
        <f>"01"</f>
        <v>01</v>
      </c>
      <c r="B33" s="4" t="str">
        <f>"SARL AUTO DEMOLITION CHINIARD"</f>
        <v>SARL AUTO DEMOLITION CHINIARD</v>
      </c>
      <c r="C33" s="4">
        <v>502272867</v>
      </c>
      <c r="D33" s="3" t="s">
        <v>0</v>
      </c>
      <c r="E33" s="2" t="str">
        <f>"0010100260"</f>
        <v>0010100260</v>
      </c>
      <c r="F33" s="5">
        <v>41422</v>
      </c>
      <c r="G33" s="5">
        <v>54789</v>
      </c>
      <c r="H33" s="4" t="str">
        <f>""</f>
        <v/>
      </c>
      <c r="I33" s="4" t="str">
        <f>""</f>
        <v/>
      </c>
    </row>
    <row r="34" spans="1:9" x14ac:dyDescent="0.3">
      <c r="A34" s="1" t="str">
        <f>"01"</f>
        <v>01</v>
      </c>
      <c r="B34" s="4" t="str">
        <f>"SARL SIBCAR"</f>
        <v>SARL SIBCAR</v>
      </c>
      <c r="C34" s="4">
        <v>511589368</v>
      </c>
      <c r="D34" s="3" t="s">
        <v>0</v>
      </c>
      <c r="E34" s="2" t="str">
        <f>"PR0100004D"</f>
        <v>PR0100004D</v>
      </c>
      <c r="F34" s="5">
        <v>38924</v>
      </c>
      <c r="G34" s="5">
        <v>54789</v>
      </c>
      <c r="H34" s="4" t="str">
        <f>""</f>
        <v/>
      </c>
      <c r="I34" s="4" t="str">
        <f>""</f>
        <v/>
      </c>
    </row>
    <row r="35" spans="1:9" x14ac:dyDescent="0.3">
      <c r="A35" s="1" t="str">
        <f>"01"</f>
        <v>01</v>
      </c>
      <c r="B35" s="4" t="str">
        <f>"SARL SIBCAR"</f>
        <v>SARL SIBCAR</v>
      </c>
      <c r="C35" s="4">
        <v>511589368</v>
      </c>
      <c r="D35" s="3" t="s">
        <v>0</v>
      </c>
      <c r="E35" s="2" t="str">
        <f>"0006102150"</f>
        <v>0006102150</v>
      </c>
      <c r="F35" s="5">
        <v>38924</v>
      </c>
      <c r="G35" s="5">
        <v>54789</v>
      </c>
      <c r="H35" s="4" t="str">
        <f>""</f>
        <v/>
      </c>
      <c r="I35" s="4" t="str">
        <f>""</f>
        <v/>
      </c>
    </row>
    <row r="36" spans="1:9" x14ac:dyDescent="0.3">
      <c r="A36" s="1" t="str">
        <f>"01"</f>
        <v>01</v>
      </c>
      <c r="B36" s="4" t="str">
        <f>"PERRON Christophe"</f>
        <v>PERRON Christophe</v>
      </c>
      <c r="C36" s="4">
        <v>537597924</v>
      </c>
      <c r="D36" s="3" t="s">
        <v>0</v>
      </c>
      <c r="E36" s="2" t="str">
        <f>"PR0100026D"</f>
        <v>PR0100026D</v>
      </c>
      <c r="F36" s="5">
        <v>44015</v>
      </c>
      <c r="G36" s="5">
        <v>54789</v>
      </c>
      <c r="H36" s="4" t="str">
        <f>""</f>
        <v/>
      </c>
      <c r="I36" s="4" t="str">
        <f>""</f>
        <v/>
      </c>
    </row>
    <row r="37" spans="1:9" x14ac:dyDescent="0.3">
      <c r="A37" s="1" t="str">
        <f>"01"</f>
        <v>01</v>
      </c>
      <c r="B37" s="4" t="str">
        <f>"PERRON Christophe"</f>
        <v>PERRON Christophe</v>
      </c>
      <c r="C37" s="4">
        <v>537597924</v>
      </c>
      <c r="D37" s="3" t="s">
        <v>0</v>
      </c>
      <c r="E37" s="2" t="str">
        <f>"0003203985"</f>
        <v>0003203985</v>
      </c>
      <c r="F37" s="5">
        <v>44015</v>
      </c>
      <c r="G37" s="5">
        <v>54789</v>
      </c>
      <c r="H37" s="4" t="str">
        <f>""</f>
        <v/>
      </c>
      <c r="I37" s="4" t="str">
        <f>""</f>
        <v/>
      </c>
    </row>
    <row r="38" spans="1:9" x14ac:dyDescent="0.3">
      <c r="A38" s="1" t="str">
        <f>"01"</f>
        <v>01</v>
      </c>
      <c r="B38" s="4" t="str">
        <f>"SARL BDS RECYCLAGE"</f>
        <v>SARL BDS RECYCLAGE</v>
      </c>
      <c r="C38" s="4">
        <v>752396168</v>
      </c>
      <c r="D38" s="3" t="s">
        <v>0</v>
      </c>
      <c r="E38" s="2" t="str">
        <f>"PR0100028D"</f>
        <v>PR0100028D</v>
      </c>
      <c r="F38" s="5">
        <v>44173</v>
      </c>
      <c r="G38" s="5">
        <v>54789</v>
      </c>
      <c r="H38" s="4" t="str">
        <f>""</f>
        <v/>
      </c>
      <c r="I38" s="4" t="str">
        <f>""</f>
        <v/>
      </c>
    </row>
    <row r="39" spans="1:9" x14ac:dyDescent="0.3">
      <c r="A39" s="1" t="str">
        <f>"01"</f>
        <v>01</v>
      </c>
      <c r="B39" s="4" t="str">
        <f>"SARL BDS RECYCLAGE"</f>
        <v>SARL BDS RECYCLAGE</v>
      </c>
      <c r="C39" s="4">
        <v>752396168</v>
      </c>
      <c r="D39" s="3" t="s">
        <v>0</v>
      </c>
      <c r="E39" s="2" t="str">
        <f>"0006109081"</f>
        <v>0006109081</v>
      </c>
      <c r="F39" s="5">
        <v>44173</v>
      </c>
      <c r="G39" s="5">
        <v>54789</v>
      </c>
      <c r="H39" s="4" t="str">
        <f>""</f>
        <v/>
      </c>
      <c r="I39" s="4" t="str">
        <f>""</f>
        <v/>
      </c>
    </row>
    <row r="40" spans="1:9" x14ac:dyDescent="0.3">
      <c r="A40" s="1" t="str">
        <f>"01"</f>
        <v>01</v>
      </c>
      <c r="B40" s="4" t="str">
        <f>"SAS QUINSON-FONLUPT"</f>
        <v>SAS QUINSON-FONLUPT</v>
      </c>
      <c r="C40" s="4">
        <v>756200093</v>
      </c>
      <c r="D40" s="3" t="s">
        <v>0</v>
      </c>
      <c r="E40" s="2" t="str">
        <f>"PR0100015D"</f>
        <v>PR0100015D</v>
      </c>
      <c r="F40" s="5">
        <v>39380</v>
      </c>
      <c r="G40" s="5">
        <v>54789</v>
      </c>
      <c r="H40" s="4" t="str">
        <f>""</f>
        <v/>
      </c>
      <c r="I40" s="4" t="str">
        <f>""</f>
        <v/>
      </c>
    </row>
    <row r="41" spans="1:9" x14ac:dyDescent="0.3">
      <c r="A41" s="1" t="str">
        <f>"01"</f>
        <v>01</v>
      </c>
      <c r="B41" s="4" t="str">
        <f>"SAS QUINSON-FONLUPT"</f>
        <v>SAS QUINSON-FONLUPT</v>
      </c>
      <c r="C41" s="4">
        <v>756200093</v>
      </c>
      <c r="D41" s="3" t="s">
        <v>0</v>
      </c>
      <c r="E41" s="2" t="str">
        <f>"0006102219"</f>
        <v>0006102219</v>
      </c>
      <c r="F41" s="5">
        <v>39380</v>
      </c>
      <c r="G41" s="5">
        <v>54789</v>
      </c>
      <c r="H41" s="4" t="str">
        <f>""</f>
        <v/>
      </c>
      <c r="I41" s="4" t="str">
        <f>""</f>
        <v/>
      </c>
    </row>
    <row r="42" spans="1:9" x14ac:dyDescent="0.3">
      <c r="A42" s="1" t="str">
        <f>"01"</f>
        <v>01</v>
      </c>
      <c r="B42" s="4" t="str">
        <f>"SAS ETABLISSEMENTS BUTIN TERRIER"</f>
        <v>SAS ETABLISSEMENTS BUTIN TERRIER</v>
      </c>
      <c r="C42" s="4">
        <v>766200620</v>
      </c>
      <c r="D42" s="3" t="s">
        <v>0</v>
      </c>
      <c r="E42" s="2" t="str">
        <f>"PR0100011D"</f>
        <v>PR0100011D</v>
      </c>
      <c r="F42" s="5">
        <v>42065</v>
      </c>
      <c r="G42" s="5">
        <v>54789</v>
      </c>
      <c r="H42" s="4" t="str">
        <f>""</f>
        <v/>
      </c>
      <c r="I42" s="4" t="str">
        <f>""</f>
        <v/>
      </c>
    </row>
    <row r="43" spans="1:9" x14ac:dyDescent="0.3">
      <c r="A43" s="1" t="str">
        <f>"01"</f>
        <v>01</v>
      </c>
      <c r="B43" s="4" t="str">
        <f>"SAS ETABLISSEMENTS BUTIN TERRIER"</f>
        <v>SAS ETABLISSEMENTS BUTIN TERRIER</v>
      </c>
      <c r="C43" s="4">
        <v>766200620</v>
      </c>
      <c r="D43" s="3" t="s">
        <v>0</v>
      </c>
      <c r="E43" s="2" t="str">
        <f>"0010100124"</f>
        <v>0010100124</v>
      </c>
      <c r="F43" s="5">
        <v>42065</v>
      </c>
      <c r="G43" s="5">
        <v>54789</v>
      </c>
      <c r="H43" s="4" t="str">
        <f>""</f>
        <v/>
      </c>
      <c r="I43" s="4" t="str">
        <f>""</f>
        <v/>
      </c>
    </row>
    <row r="44" spans="1:9" x14ac:dyDescent="0.3">
      <c r="A44" s="1" t="str">
        <f>"01"</f>
        <v>01</v>
      </c>
      <c r="B44" s="4" t="str">
        <f>"SARL M3CN"</f>
        <v>SARL M3CN</v>
      </c>
      <c r="C44" s="4">
        <v>803704832</v>
      </c>
      <c r="D44" s="3" t="s">
        <v>0</v>
      </c>
      <c r="E44" s="2" t="str">
        <f>"PR01000020D"</f>
        <v>PR01000020D</v>
      </c>
      <c r="F44" s="5">
        <v>42083</v>
      </c>
      <c r="G44" s="5">
        <v>54789</v>
      </c>
      <c r="H44" s="4" t="str">
        <f>""</f>
        <v/>
      </c>
      <c r="I44" s="4" t="str">
        <f>""</f>
        <v/>
      </c>
    </row>
    <row r="45" spans="1:9" x14ac:dyDescent="0.3">
      <c r="A45" s="1" t="str">
        <f>"01"</f>
        <v>01</v>
      </c>
      <c r="B45" s="4" t="str">
        <f>"SARL M3CN"</f>
        <v>SARL M3CN</v>
      </c>
      <c r="C45" s="4">
        <v>803704832</v>
      </c>
      <c r="D45" s="3" t="s">
        <v>0</v>
      </c>
      <c r="E45" s="2" t="str">
        <f>"0006102207"</f>
        <v>0006102207</v>
      </c>
      <c r="F45" s="5">
        <v>42083</v>
      </c>
      <c r="G45" s="5">
        <v>54789</v>
      </c>
      <c r="H45" s="4" t="str">
        <f>""</f>
        <v/>
      </c>
      <c r="I45" s="4" t="str">
        <f>""</f>
        <v/>
      </c>
    </row>
    <row r="46" spans="1:9" x14ac:dyDescent="0.3">
      <c r="A46" s="1" t="str">
        <f>"01"</f>
        <v>01</v>
      </c>
      <c r="B46" s="4" t="str">
        <f>"SAS DEMOLITION AUTO CALARD"</f>
        <v>SAS DEMOLITION AUTO CALARD</v>
      </c>
      <c r="C46" s="4">
        <v>817895659</v>
      </c>
      <c r="D46" s="3" t="s">
        <v>0</v>
      </c>
      <c r="E46" s="2" t="str">
        <f>"PR0100009D"</f>
        <v>PR0100009D</v>
      </c>
      <c r="F46" s="5">
        <v>42661</v>
      </c>
      <c r="G46" s="5">
        <v>54789</v>
      </c>
      <c r="H46" s="4" t="str">
        <f>""</f>
        <v/>
      </c>
      <c r="I46" s="4" t="str">
        <f>""</f>
        <v/>
      </c>
    </row>
    <row r="47" spans="1:9" x14ac:dyDescent="0.3">
      <c r="A47" s="1" t="str">
        <f>"01"</f>
        <v>01</v>
      </c>
      <c r="B47" s="4" t="str">
        <f>"SAS DEMOLITION AUTO CALARD"</f>
        <v>SAS DEMOLITION AUTO CALARD</v>
      </c>
      <c r="C47" s="4">
        <v>817895659</v>
      </c>
      <c r="D47" s="3" t="s">
        <v>0</v>
      </c>
      <c r="E47" s="2" t="str">
        <f>"0010100009"</f>
        <v>0010100009</v>
      </c>
      <c r="F47" s="5">
        <v>42661</v>
      </c>
      <c r="G47" s="5">
        <v>54789</v>
      </c>
      <c r="H47" s="4" t="str">
        <f>""</f>
        <v/>
      </c>
      <c r="I47" s="4" t="str">
        <f>""</f>
        <v/>
      </c>
    </row>
    <row r="48" spans="1:9" x14ac:dyDescent="0.3">
      <c r="A48" s="1" t="str">
        <f>"01"</f>
        <v>01</v>
      </c>
      <c r="B48" s="4" t="str">
        <f>"SARL FAURAX MAG'AUTO"</f>
        <v>SARL FAURAX MAG'AUTO</v>
      </c>
      <c r="C48" s="4">
        <v>821381639</v>
      </c>
      <c r="D48" s="3" t="s">
        <v>0</v>
      </c>
      <c r="E48" s="2" t="str">
        <f>"PR0100025D"</f>
        <v>PR0100025D</v>
      </c>
      <c r="F48" s="5">
        <v>43112</v>
      </c>
      <c r="G48" s="5">
        <v>54789</v>
      </c>
      <c r="H48" s="4" t="str">
        <f>""</f>
        <v/>
      </c>
      <c r="I48" s="4" t="str">
        <f>""</f>
        <v/>
      </c>
    </row>
    <row r="49" spans="1:9" x14ac:dyDescent="0.3">
      <c r="A49" s="1" t="str">
        <f>"01"</f>
        <v>01</v>
      </c>
      <c r="B49" s="4" t="str">
        <f>"SARL FAURAX MAG'AUTO"</f>
        <v>SARL FAURAX MAG'AUTO</v>
      </c>
      <c r="C49" s="4">
        <v>821381639</v>
      </c>
      <c r="D49" s="3" t="s">
        <v>0</v>
      </c>
      <c r="E49" s="2" t="str">
        <f>"0010100020"</f>
        <v>0010100020</v>
      </c>
      <c r="F49" s="5">
        <v>43112</v>
      </c>
      <c r="G49" s="5">
        <v>54789</v>
      </c>
      <c r="H49" s="4" t="str">
        <f>""</f>
        <v/>
      </c>
      <c r="I49" s="4" t="str">
        <f>""</f>
        <v/>
      </c>
    </row>
    <row r="50" spans="1:9" x14ac:dyDescent="0.3">
      <c r="A50" s="1" t="str">
        <f>"01"</f>
        <v>01</v>
      </c>
      <c r="B50" s="4" t="str">
        <f>"SAS AUTO CASSE"</f>
        <v>SAS AUTO CASSE</v>
      </c>
      <c r="C50" s="4">
        <v>851625368</v>
      </c>
      <c r="D50" s="3" t="s">
        <v>0</v>
      </c>
      <c r="E50" s="2" t="str">
        <f>"PR0100027D"</f>
        <v>PR0100027D</v>
      </c>
      <c r="F50" s="5">
        <v>44048</v>
      </c>
      <c r="G50" s="5">
        <v>54789</v>
      </c>
      <c r="H50" s="4" t="str">
        <f>""</f>
        <v/>
      </c>
      <c r="I50" s="4" t="str">
        <f>""</f>
        <v/>
      </c>
    </row>
    <row r="51" spans="1:9" x14ac:dyDescent="0.3">
      <c r="A51" s="1" t="str">
        <f>"01"</f>
        <v>01</v>
      </c>
      <c r="B51" s="4" t="str">
        <f>"SAS AUTO CASSE"</f>
        <v>SAS AUTO CASSE</v>
      </c>
      <c r="C51" s="4">
        <v>851625368</v>
      </c>
      <c r="D51" s="3" t="s">
        <v>0</v>
      </c>
      <c r="E51" s="2" t="str">
        <f>"0006108607"</f>
        <v>0006108607</v>
      </c>
      <c r="F51" s="5">
        <v>44048</v>
      </c>
      <c r="G51" s="5">
        <v>54789</v>
      </c>
      <c r="H51" s="4" t="str">
        <f>""</f>
        <v/>
      </c>
      <c r="I51" s="4" t="str">
        <f>""</f>
        <v/>
      </c>
    </row>
    <row r="52" spans="1:9" x14ac:dyDescent="0.3">
      <c r="A52" s="1" t="str">
        <f>"01"</f>
        <v>01</v>
      </c>
      <c r="B52" s="4" t="str">
        <f>"SARL LA P'TITE CASSE"</f>
        <v>SARL LA P'TITE CASSE</v>
      </c>
      <c r="C52" s="4">
        <v>981513625</v>
      </c>
      <c r="D52" s="3" t="s">
        <v>0</v>
      </c>
      <c r="E52" s="2" t="str">
        <f>"PR0100016D"</f>
        <v>PR0100016D</v>
      </c>
      <c r="F52" s="5">
        <v>45698</v>
      </c>
      <c r="G52" s="5">
        <v>54789</v>
      </c>
      <c r="H52" s="4" t="str">
        <f>"GERARD"</f>
        <v>GERARD</v>
      </c>
      <c r="I52" s="4" t="str">
        <f>"Guillaume"</f>
        <v>Guillaume</v>
      </c>
    </row>
    <row r="53" spans="1:9" x14ac:dyDescent="0.3">
      <c r="A53" s="1" t="str">
        <f>"01"</f>
        <v>01</v>
      </c>
      <c r="B53" s="4" t="str">
        <f>"SARL LA P'TITE CASSE"</f>
        <v>SARL LA P'TITE CASSE</v>
      </c>
      <c r="C53" s="4">
        <v>981513625</v>
      </c>
      <c r="D53" s="3" t="s">
        <v>0</v>
      </c>
      <c r="E53" s="2" t="str">
        <f>"0006102091"</f>
        <v>0006102091</v>
      </c>
      <c r="F53" s="5">
        <v>45698</v>
      </c>
      <c r="G53" s="5">
        <v>54789</v>
      </c>
      <c r="H53" s="4" t="str">
        <f>"GERARD"</f>
        <v>GERARD</v>
      </c>
      <c r="I53" s="4" t="str">
        <f>"Guillaume"</f>
        <v>Guillaume</v>
      </c>
    </row>
    <row r="54" spans="1:9" x14ac:dyDescent="0.3">
      <c r="A54" s="1" t="str">
        <f>"02"</f>
        <v>02</v>
      </c>
      <c r="B54" s="4" t="str">
        <f>"SOCIETE DE PIECES DETACHEES D'OCCASION"</f>
        <v>SOCIETE DE PIECES DETACHEES D'OCCASION</v>
      </c>
      <c r="C54" s="4">
        <v>310213889</v>
      </c>
      <c r="D54" s="3" t="s">
        <v>0</v>
      </c>
      <c r="E54" s="2" t="str">
        <f>"0005104144"</f>
        <v>0005104144</v>
      </c>
      <c r="F54" s="5">
        <v>43237</v>
      </c>
      <c r="G54" s="5">
        <v>54789</v>
      </c>
      <c r="H54" s="4" t="str">
        <f>""</f>
        <v/>
      </c>
      <c r="I54" s="4" t="str">
        <f>""</f>
        <v/>
      </c>
    </row>
    <row r="55" spans="1:9" x14ac:dyDescent="0.3">
      <c r="A55" s="1" t="str">
        <f>"02"</f>
        <v>02</v>
      </c>
      <c r="B55" s="4" t="str">
        <f>"SOCIETE DE PIECES DETACHEES D'OCCASION"</f>
        <v>SOCIETE DE PIECES DETACHEES D'OCCASION</v>
      </c>
      <c r="C55" s="4">
        <v>310213889</v>
      </c>
      <c r="D55" s="3" t="s">
        <v>0</v>
      </c>
      <c r="E55" s="2" t="str">
        <f>"PR0200002D"</f>
        <v>PR0200002D</v>
      </c>
      <c r="F55" s="5">
        <v>38855</v>
      </c>
      <c r="G55" s="5">
        <v>54789</v>
      </c>
      <c r="H55" s="4" t="str">
        <f>""</f>
        <v/>
      </c>
      <c r="I55" s="4" t="str">
        <f>""</f>
        <v/>
      </c>
    </row>
    <row r="56" spans="1:9" x14ac:dyDescent="0.3">
      <c r="A56" s="1" t="str">
        <f>"02"</f>
        <v>02</v>
      </c>
      <c r="B56" s="4" t="str">
        <f>"SOCIETE SEVP 2 A"</f>
        <v>SOCIETE SEVP 2 A</v>
      </c>
      <c r="C56" s="4">
        <v>340242445</v>
      </c>
      <c r="D56" s="3" t="s">
        <v>0</v>
      </c>
      <c r="E56" s="2" t="str">
        <f>"0005100214"</f>
        <v>0005100214</v>
      </c>
      <c r="F56" s="5">
        <v>43388</v>
      </c>
      <c r="G56" s="5">
        <v>54789</v>
      </c>
      <c r="H56" s="4" t="str">
        <f>""</f>
        <v/>
      </c>
      <c r="I56" s="4" t="str">
        <f>""</f>
        <v/>
      </c>
    </row>
    <row r="57" spans="1:9" x14ac:dyDescent="0.3">
      <c r="A57" s="1" t="str">
        <f>"02"</f>
        <v>02</v>
      </c>
      <c r="B57" s="4" t="str">
        <f>"SOCIETE SEVP 2 A"</f>
        <v>SOCIETE SEVP 2 A</v>
      </c>
      <c r="C57" s="4">
        <v>340242445</v>
      </c>
      <c r="D57" s="3" t="s">
        <v>0</v>
      </c>
      <c r="E57" s="2" t="str">
        <f>"PR0200004D"</f>
        <v>PR0200004D</v>
      </c>
      <c r="F57" s="5">
        <v>41220</v>
      </c>
      <c r="G57" s="5">
        <v>54789</v>
      </c>
      <c r="H57" s="4" t="str">
        <f>""</f>
        <v/>
      </c>
      <c r="I57" s="4" t="str">
        <f>""</f>
        <v/>
      </c>
    </row>
    <row r="58" spans="1:9" x14ac:dyDescent="0.3">
      <c r="A58" s="1" t="str">
        <f>"02"</f>
        <v>02</v>
      </c>
      <c r="B58" s="4" t="str">
        <f>"SOCIETE SEVP 2 A"</f>
        <v>SOCIETE SEVP 2 A</v>
      </c>
      <c r="C58" s="4">
        <v>340242445</v>
      </c>
      <c r="D58" s="3" t="s">
        <v>0</v>
      </c>
      <c r="E58" s="2" t="str">
        <f>"PR0200006D"</f>
        <v>PR0200006D</v>
      </c>
      <c r="F58" s="5">
        <v>41220</v>
      </c>
      <c r="G58" s="5">
        <v>54789</v>
      </c>
      <c r="H58" s="4" t="str">
        <f>""</f>
        <v/>
      </c>
      <c r="I58" s="4" t="str">
        <f>""</f>
        <v/>
      </c>
    </row>
    <row r="59" spans="1:9" x14ac:dyDescent="0.3">
      <c r="A59" s="1" t="str">
        <f>"02"</f>
        <v>02</v>
      </c>
      <c r="B59" s="4" t="str">
        <f>"SOCIETE SEVP 2 A"</f>
        <v>SOCIETE SEVP 2 A</v>
      </c>
      <c r="C59" s="4">
        <v>340242445</v>
      </c>
      <c r="D59" s="3" t="s">
        <v>0</v>
      </c>
      <c r="E59" s="2" t="str">
        <f>"0005100592"</f>
        <v>0005100592</v>
      </c>
      <c r="F59" s="5">
        <v>38982</v>
      </c>
      <c r="G59" s="5">
        <v>54789</v>
      </c>
      <c r="H59" s="4" t="str">
        <f>""</f>
        <v/>
      </c>
      <c r="I59" s="4" t="str">
        <f>""</f>
        <v/>
      </c>
    </row>
    <row r="60" spans="1:9" x14ac:dyDescent="0.3">
      <c r="A60" s="1" t="str">
        <f>"02"</f>
        <v>02</v>
      </c>
      <c r="B60" s="4" t="str">
        <f>"SOCIETE ATP"</f>
        <v>SOCIETE ATP</v>
      </c>
      <c r="C60" s="4">
        <v>340420223</v>
      </c>
      <c r="D60" s="3" t="s">
        <v>0</v>
      </c>
      <c r="E60" s="2" t="str">
        <f>"0005106833"</f>
        <v>0005106833</v>
      </c>
      <c r="F60" s="5">
        <v>43657</v>
      </c>
      <c r="G60" s="5">
        <v>54789</v>
      </c>
      <c r="H60" s="4" t="str">
        <f>""</f>
        <v/>
      </c>
      <c r="I60" s="4" t="str">
        <f>""</f>
        <v/>
      </c>
    </row>
    <row r="61" spans="1:9" x14ac:dyDescent="0.3">
      <c r="A61" s="1" t="str">
        <f>"02"</f>
        <v>02</v>
      </c>
      <c r="B61" s="4" t="str">
        <f>"SOCIETE ATP"</f>
        <v>SOCIETE ATP</v>
      </c>
      <c r="C61" s="4">
        <v>340420223</v>
      </c>
      <c r="D61" s="3" t="s">
        <v>0</v>
      </c>
      <c r="E61" s="2" t="str">
        <f>"PR0200023D"</f>
        <v>PR0200023D</v>
      </c>
      <c r="F61" s="5">
        <v>43657</v>
      </c>
      <c r="G61" s="5">
        <v>54789</v>
      </c>
      <c r="H61" s="4" t="str">
        <f>""</f>
        <v/>
      </c>
      <c r="I61" s="4" t="str">
        <f>""</f>
        <v/>
      </c>
    </row>
    <row r="62" spans="1:9" x14ac:dyDescent="0.3">
      <c r="A62" s="1" t="str">
        <f>"02"</f>
        <v>02</v>
      </c>
      <c r="B62" s="4" t="str">
        <f>"SARL CASSE AUTO PIECES OCCASION"</f>
        <v>SARL CASSE AUTO PIECES OCCASION</v>
      </c>
      <c r="C62" s="4">
        <v>340683077</v>
      </c>
      <c r="D62" s="3" t="s">
        <v>0</v>
      </c>
      <c r="E62" s="2" t="str">
        <f>"PR0200003D"</f>
        <v>PR0200003D</v>
      </c>
      <c r="F62" s="5">
        <v>38889</v>
      </c>
      <c r="G62" s="5">
        <v>54789</v>
      </c>
      <c r="H62" s="4" t="str">
        <f>""</f>
        <v/>
      </c>
      <c r="I62" s="4" t="str">
        <f>""</f>
        <v/>
      </c>
    </row>
    <row r="63" spans="1:9" x14ac:dyDescent="0.3">
      <c r="A63" s="1" t="str">
        <f>"02"</f>
        <v>02</v>
      </c>
      <c r="B63" s="4" t="str">
        <f>"SARL CASSE AUTO PIECES OCCASION"</f>
        <v>SARL CASSE AUTO PIECES OCCASION</v>
      </c>
      <c r="C63" s="4">
        <v>340683077</v>
      </c>
      <c r="D63" s="3" t="s">
        <v>0</v>
      </c>
      <c r="E63" s="2" t="str">
        <f>"0005100684"</f>
        <v>0005100684</v>
      </c>
      <c r="F63" s="5">
        <v>43300</v>
      </c>
      <c r="G63" s="5">
        <v>54789</v>
      </c>
      <c r="H63" s="4" t="str">
        <f>""</f>
        <v/>
      </c>
      <c r="I63" s="4" t="str">
        <f>""</f>
        <v/>
      </c>
    </row>
    <row r="64" spans="1:9" x14ac:dyDescent="0.3">
      <c r="A64" s="1" t="str">
        <f>"02"</f>
        <v>02</v>
      </c>
      <c r="B64" s="4" t="str">
        <f>"GALLOO CHAUNY SAS"</f>
        <v>GALLOO CHAUNY SAS</v>
      </c>
      <c r="C64" s="4">
        <v>382034312</v>
      </c>
      <c r="D64" s="3" t="s">
        <v>0</v>
      </c>
      <c r="E64" s="2" t="str">
        <f>"PR0200009D"</f>
        <v>PR0200009D</v>
      </c>
      <c r="F64" s="5">
        <v>43777</v>
      </c>
      <c r="G64" s="5">
        <v>54789</v>
      </c>
      <c r="H64" s="4" t="str">
        <f>""</f>
        <v/>
      </c>
      <c r="I64" s="4" t="str">
        <f>""</f>
        <v/>
      </c>
    </row>
    <row r="65" spans="1:9" x14ac:dyDescent="0.3">
      <c r="A65" s="1" t="str">
        <f>"02"</f>
        <v>02</v>
      </c>
      <c r="B65" s="4" t="str">
        <f>"GALLOO CHAUNY SAS"</f>
        <v>GALLOO CHAUNY SAS</v>
      </c>
      <c r="C65" s="4">
        <v>382034312</v>
      </c>
      <c r="D65" s="3" t="s">
        <v>0</v>
      </c>
      <c r="E65" s="2" t="str">
        <f>"0005105346"</f>
        <v>0005105346</v>
      </c>
      <c r="F65" s="5">
        <v>43777</v>
      </c>
      <c r="G65" s="5">
        <v>54789</v>
      </c>
      <c r="H65" s="4" t="str">
        <f>""</f>
        <v/>
      </c>
      <c r="I65" s="4" t="str">
        <f>""</f>
        <v/>
      </c>
    </row>
    <row r="66" spans="1:9" x14ac:dyDescent="0.3">
      <c r="A66" s="1" t="str">
        <f>"02"</f>
        <v>02</v>
      </c>
      <c r="B66" s="4" t="str">
        <f>"GALLO France SA HIRSON"</f>
        <v>GALLO France SA HIRSON</v>
      </c>
      <c r="C66" s="4">
        <v>383066602</v>
      </c>
      <c r="D66" s="3" t="s">
        <v>0</v>
      </c>
      <c r="E66" s="2" t="str">
        <f>"PR0200015D"</f>
        <v>PR0200015D</v>
      </c>
      <c r="F66" s="5">
        <v>41355</v>
      </c>
      <c r="G66" s="5">
        <v>54789</v>
      </c>
      <c r="H66" s="4" t="str">
        <f>""</f>
        <v/>
      </c>
      <c r="I66" s="4" t="str">
        <f>""</f>
        <v/>
      </c>
    </row>
    <row r="67" spans="1:9" x14ac:dyDescent="0.3">
      <c r="A67" s="1" t="str">
        <f>"02"</f>
        <v>02</v>
      </c>
      <c r="B67" s="4" t="str">
        <f>"GALLO FRANCE SA FLAVIGNY"</f>
        <v>GALLO FRANCE SA FLAVIGNY</v>
      </c>
      <c r="C67" s="4">
        <v>383066602</v>
      </c>
      <c r="D67" s="3" t="s">
        <v>0</v>
      </c>
      <c r="E67" s="2" t="str">
        <f>"PR0200028D"</f>
        <v>PR0200028D</v>
      </c>
      <c r="F67" s="5">
        <v>42783</v>
      </c>
      <c r="G67" s="5">
        <v>54789</v>
      </c>
      <c r="H67" s="4" t="str">
        <f>""</f>
        <v/>
      </c>
      <c r="I67" s="4" t="str">
        <f>""</f>
        <v/>
      </c>
    </row>
    <row r="68" spans="1:9" x14ac:dyDescent="0.3">
      <c r="A68" s="1" t="str">
        <f>"02"</f>
        <v>02</v>
      </c>
      <c r="B68" s="4" t="str">
        <f>"GALLO France SA HIRSON"</f>
        <v>GALLO France SA HIRSON</v>
      </c>
      <c r="C68" s="4">
        <v>383066602</v>
      </c>
      <c r="D68" s="3" t="s">
        <v>0</v>
      </c>
      <c r="E68" s="2" t="str">
        <f>"0005105811"</f>
        <v>0005105811</v>
      </c>
      <c r="F68" s="5">
        <v>43834</v>
      </c>
      <c r="G68" s="5">
        <v>54789</v>
      </c>
      <c r="H68" s="4" t="str">
        <f>""</f>
        <v/>
      </c>
      <c r="I68" s="4" t="str">
        <f>""</f>
        <v/>
      </c>
    </row>
    <row r="69" spans="1:9" x14ac:dyDescent="0.3">
      <c r="A69" s="1" t="str">
        <f>"02"</f>
        <v>02</v>
      </c>
      <c r="B69" s="4" t="str">
        <f>"SARL DAVID ALEXANDRE"</f>
        <v>SARL DAVID ALEXANDRE</v>
      </c>
      <c r="C69" s="4">
        <v>411074875</v>
      </c>
      <c r="D69" s="3" t="s">
        <v>0</v>
      </c>
      <c r="E69" s="2" t="str">
        <f>"0005105795"</f>
        <v>0005105795</v>
      </c>
      <c r="F69" s="5">
        <v>43608</v>
      </c>
      <c r="G69" s="5">
        <v>54789</v>
      </c>
      <c r="H69" s="4" t="str">
        <f>""</f>
        <v/>
      </c>
      <c r="I69" s="4" t="str">
        <f>""</f>
        <v/>
      </c>
    </row>
    <row r="70" spans="1:9" x14ac:dyDescent="0.3">
      <c r="A70" s="1" t="str">
        <f>"02"</f>
        <v>02</v>
      </c>
      <c r="B70" s="4" t="str">
        <f>"SARL DAVID ALEXANDRE"</f>
        <v>SARL DAVID ALEXANDRE</v>
      </c>
      <c r="C70" s="4">
        <v>411074875</v>
      </c>
      <c r="D70" s="3" t="s">
        <v>0</v>
      </c>
      <c r="E70" s="2" t="str">
        <f>"PR0200005D"</f>
        <v>PR0200005D</v>
      </c>
      <c r="F70" s="5">
        <v>43608</v>
      </c>
      <c r="G70" s="5">
        <v>54789</v>
      </c>
      <c r="H70" s="4" t="str">
        <f>""</f>
        <v/>
      </c>
      <c r="I70" s="4" t="str">
        <f>""</f>
        <v/>
      </c>
    </row>
    <row r="71" spans="1:9" x14ac:dyDescent="0.3">
      <c r="A71" s="1" t="str">
        <f>"02"</f>
        <v>02</v>
      </c>
      <c r="B71" s="4" t="str">
        <f>"SOCIETE EUROPIECES"</f>
        <v>SOCIETE EUROPIECES</v>
      </c>
      <c r="C71" s="4">
        <v>422882555</v>
      </c>
      <c r="D71" s="3" t="s">
        <v>0</v>
      </c>
      <c r="E71" s="2" t="str">
        <f>"0005104815"</f>
        <v>0005104815</v>
      </c>
      <c r="F71" s="5">
        <v>39623</v>
      </c>
      <c r="G71" s="5">
        <v>54789</v>
      </c>
      <c r="H71" s="4" t="str">
        <f>"DELSAUT"</f>
        <v>DELSAUT</v>
      </c>
      <c r="I71" s="4" t="str">
        <f>"LAURENT"</f>
        <v>LAURENT</v>
      </c>
    </row>
    <row r="72" spans="1:9" x14ac:dyDescent="0.3">
      <c r="A72" s="1" t="str">
        <f>"02"</f>
        <v>02</v>
      </c>
      <c r="B72" s="4" t="str">
        <f>"SOCIETE EUROPIECES"</f>
        <v>SOCIETE EUROPIECES</v>
      </c>
      <c r="C72" s="4">
        <v>422882555</v>
      </c>
      <c r="D72" s="3" t="s">
        <v>0</v>
      </c>
      <c r="E72" s="2" t="str">
        <f>"PR0200013D"</f>
        <v>PR0200013D</v>
      </c>
      <c r="F72" s="5">
        <v>39623</v>
      </c>
      <c r="G72" s="5">
        <v>54789</v>
      </c>
      <c r="H72" s="4" t="str">
        <f>""</f>
        <v/>
      </c>
      <c r="I72" s="4" t="str">
        <f>""</f>
        <v/>
      </c>
    </row>
    <row r="73" spans="1:9" x14ac:dyDescent="0.3">
      <c r="A73" s="1" t="str">
        <f>"02"</f>
        <v>02</v>
      </c>
      <c r="B73" s="4" t="str">
        <f>"CASTEL PIECES AUTO"</f>
        <v>CASTEL PIECES AUTO</v>
      </c>
      <c r="C73" s="4">
        <v>433648227</v>
      </c>
      <c r="D73" s="3" t="s">
        <v>0</v>
      </c>
      <c r="E73" s="2" t="str">
        <f>"PR0200010D"</f>
        <v>PR0200010D</v>
      </c>
      <c r="F73" s="5">
        <v>44056</v>
      </c>
      <c r="G73" s="5">
        <v>54789</v>
      </c>
      <c r="H73" s="4" t="str">
        <f>""</f>
        <v/>
      </c>
      <c r="I73" s="4" t="str">
        <f>""</f>
        <v/>
      </c>
    </row>
    <row r="74" spans="1:9" x14ac:dyDescent="0.3">
      <c r="A74" s="1" t="str">
        <f>"02"</f>
        <v>02</v>
      </c>
      <c r="B74" s="4" t="str">
        <f>"CASTEL PIECES AUTO"</f>
        <v>CASTEL PIECES AUTO</v>
      </c>
      <c r="C74" s="4">
        <v>433648227</v>
      </c>
      <c r="D74" s="3" t="s">
        <v>0</v>
      </c>
      <c r="E74" s="2" t="str">
        <f>"0005105099"</f>
        <v>0005105099</v>
      </c>
      <c r="F74" s="5">
        <v>44056</v>
      </c>
      <c r="G74" s="5">
        <v>54789</v>
      </c>
      <c r="H74" s="4" t="str">
        <f>""</f>
        <v/>
      </c>
      <c r="I74" s="4" t="str">
        <f>""</f>
        <v/>
      </c>
    </row>
    <row r="75" spans="1:9" x14ac:dyDescent="0.3">
      <c r="A75" s="1" t="str">
        <f>"02"</f>
        <v>02</v>
      </c>
      <c r="B75" s="4" t="str">
        <f>"SOCIETE CPO"</f>
        <v>SOCIETE CPO</v>
      </c>
      <c r="C75" s="4">
        <v>434529293</v>
      </c>
      <c r="D75" s="3" t="s">
        <v>0</v>
      </c>
      <c r="E75" s="2" t="str">
        <f>"0005100022"</f>
        <v>0005100022</v>
      </c>
      <c r="F75" s="5">
        <v>43943</v>
      </c>
      <c r="G75" s="5">
        <v>54789</v>
      </c>
      <c r="H75" s="4" t="str">
        <f>""</f>
        <v/>
      </c>
      <c r="I75" s="4" t="str">
        <f>""</f>
        <v/>
      </c>
    </row>
    <row r="76" spans="1:9" x14ac:dyDescent="0.3">
      <c r="A76" s="1" t="str">
        <f>"02"</f>
        <v>02</v>
      </c>
      <c r="B76" s="4" t="str">
        <f>"SOCIETE CPO"</f>
        <v>SOCIETE CPO</v>
      </c>
      <c r="C76" s="4">
        <v>434529293</v>
      </c>
      <c r="D76" s="3" t="s">
        <v>0</v>
      </c>
      <c r="E76" s="2" t="str">
        <f>"PR0200026D"</f>
        <v>PR0200026D</v>
      </c>
      <c r="F76" s="5">
        <v>43943</v>
      </c>
      <c r="G76" s="5">
        <v>54789</v>
      </c>
      <c r="H76" s="4" t="str">
        <f>""</f>
        <v/>
      </c>
      <c r="I76" s="4" t="str">
        <f>""</f>
        <v/>
      </c>
    </row>
    <row r="77" spans="1:9" x14ac:dyDescent="0.3">
      <c r="A77" s="1" t="str">
        <f>"02"</f>
        <v>02</v>
      </c>
      <c r="B77" s="4" t="str">
        <f>"SOCIETE STOCK AUTO"</f>
        <v>SOCIETE STOCK AUTO</v>
      </c>
      <c r="C77" s="4">
        <v>440746931</v>
      </c>
      <c r="D77" s="3" t="s">
        <v>0</v>
      </c>
      <c r="E77" s="2" t="str">
        <f>"0005104399"</f>
        <v>0005104399</v>
      </c>
      <c r="F77" s="5">
        <v>43846</v>
      </c>
      <c r="G77" s="5">
        <v>54789</v>
      </c>
      <c r="H77" s="4" t="str">
        <f>"SOLAU"</f>
        <v>SOLAU</v>
      </c>
      <c r="I77" s="4" t="str">
        <f>"DENIS"</f>
        <v>DENIS</v>
      </c>
    </row>
    <row r="78" spans="1:9" x14ac:dyDescent="0.3">
      <c r="A78" s="1" t="str">
        <f>"02"</f>
        <v>02</v>
      </c>
      <c r="B78" s="4" t="str">
        <f>"SOCIETE STOCK AUTO"</f>
        <v>SOCIETE STOCK AUTO</v>
      </c>
      <c r="C78" s="4">
        <v>440746931</v>
      </c>
      <c r="D78" s="3" t="s">
        <v>0</v>
      </c>
      <c r="E78" s="2" t="str">
        <f>"PR0200014D"</f>
        <v>PR0200014D</v>
      </c>
      <c r="F78" s="5">
        <v>39638</v>
      </c>
      <c r="G78" s="5">
        <v>54789</v>
      </c>
      <c r="H78" s="4" t="str">
        <f>""</f>
        <v/>
      </c>
      <c r="I78" s="4" t="str">
        <f>""</f>
        <v/>
      </c>
    </row>
    <row r="79" spans="1:9" x14ac:dyDescent="0.3">
      <c r="A79" s="1" t="str">
        <f>"02"</f>
        <v>02</v>
      </c>
      <c r="B79" s="4" t="str">
        <f>"SNH"</f>
        <v>SNH</v>
      </c>
      <c r="C79" s="4">
        <v>445300593</v>
      </c>
      <c r="D79" s="3" t="s">
        <v>0</v>
      </c>
      <c r="E79" s="2" t="str">
        <f>"0005105030"</f>
        <v>0005105030</v>
      </c>
      <c r="F79" s="5">
        <v>41992</v>
      </c>
      <c r="G79" s="5">
        <v>54789</v>
      </c>
      <c r="H79" s="4" t="str">
        <f>""</f>
        <v/>
      </c>
      <c r="I79" s="4" t="str">
        <f>""</f>
        <v/>
      </c>
    </row>
    <row r="80" spans="1:9" x14ac:dyDescent="0.3">
      <c r="A80" s="1" t="str">
        <f>"02"</f>
        <v>02</v>
      </c>
      <c r="B80" s="4" t="str">
        <f>"SNH"</f>
        <v>SNH</v>
      </c>
      <c r="C80" s="4">
        <v>445300593</v>
      </c>
      <c r="D80" s="3" t="s">
        <v>0</v>
      </c>
      <c r="E80" s="2" t="str">
        <f>"PR0200017D"</f>
        <v>PR0200017D</v>
      </c>
      <c r="F80" s="5">
        <v>39742</v>
      </c>
      <c r="G80" s="5">
        <v>54789</v>
      </c>
      <c r="H80" s="4" t="str">
        <f>""</f>
        <v/>
      </c>
      <c r="I80" s="4" t="str">
        <f>""</f>
        <v/>
      </c>
    </row>
    <row r="81" spans="1:9" x14ac:dyDescent="0.3">
      <c r="A81" s="1" t="str">
        <f>"02"</f>
        <v>02</v>
      </c>
      <c r="B81" s="4" t="str">
        <f>"SOCIETE MOMO LA RECUP"</f>
        <v>SOCIETE MOMO LA RECUP</v>
      </c>
      <c r="C81" s="4">
        <v>489491850</v>
      </c>
      <c r="D81" s="3" t="s">
        <v>0</v>
      </c>
      <c r="E81" s="2" t="str">
        <f>"0005106520"</f>
        <v>0005106520</v>
      </c>
      <c r="F81" s="5">
        <v>43657</v>
      </c>
      <c r="G81" s="5">
        <v>54789</v>
      </c>
      <c r="H81" s="4" t="str">
        <f>""</f>
        <v/>
      </c>
      <c r="I81" s="4" t="str">
        <f>""</f>
        <v/>
      </c>
    </row>
    <row r="82" spans="1:9" x14ac:dyDescent="0.3">
      <c r="A82" s="1" t="str">
        <f>"02"</f>
        <v>02</v>
      </c>
      <c r="B82" s="4" t="str">
        <f>"SOCIETE MOMO LA RECUP"</f>
        <v>SOCIETE MOMO LA RECUP</v>
      </c>
      <c r="C82" s="4">
        <v>489491850</v>
      </c>
      <c r="D82" s="3" t="s">
        <v>0</v>
      </c>
      <c r="E82" s="2" t="str">
        <f>"PR0200025D"</f>
        <v>PR0200025D</v>
      </c>
      <c r="F82" s="5">
        <v>41604</v>
      </c>
      <c r="G82" s="5">
        <v>54789</v>
      </c>
      <c r="H82" s="4" t="str">
        <f>""</f>
        <v/>
      </c>
      <c r="I82" s="4" t="str">
        <f>""</f>
        <v/>
      </c>
    </row>
    <row r="83" spans="1:9" x14ac:dyDescent="0.3">
      <c r="A83" s="1" t="str">
        <f>"02"</f>
        <v>02</v>
      </c>
      <c r="B83" s="4" t="str">
        <f>"SOCIETE DEMOLITION ET REVENTE DE METAUX"</f>
        <v>SOCIETE DEMOLITION ET REVENTE DE METAUX</v>
      </c>
      <c r="C83" s="4">
        <v>493169965</v>
      </c>
      <c r="D83" s="3" t="s">
        <v>0</v>
      </c>
      <c r="E83" s="2" t="str">
        <f>"PR0200030D"</f>
        <v>PR0200030D</v>
      </c>
      <c r="F83" s="5">
        <v>44887</v>
      </c>
      <c r="G83" s="5">
        <v>54789</v>
      </c>
      <c r="H83" s="4" t="str">
        <f>""</f>
        <v/>
      </c>
      <c r="I83" s="4" t="str">
        <f>""</f>
        <v/>
      </c>
    </row>
    <row r="84" spans="1:9" x14ac:dyDescent="0.3">
      <c r="A84" s="1" t="str">
        <f>"02"</f>
        <v>02</v>
      </c>
      <c r="B84" s="4" t="str">
        <f>"SOCIETE DEMOLITION ET REVENTE DE METAUX"</f>
        <v>SOCIETE DEMOLITION ET REVENTE DE METAUX</v>
      </c>
      <c r="C84" s="4">
        <v>493169965</v>
      </c>
      <c r="D84" s="3" t="s">
        <v>0</v>
      </c>
      <c r="E84" s="2" t="str">
        <f>"0005100495"</f>
        <v>0005100495</v>
      </c>
      <c r="F84" s="5">
        <v>44887</v>
      </c>
      <c r="G84" s="5">
        <v>54789</v>
      </c>
      <c r="H84" s="4" t="str">
        <f>""</f>
        <v/>
      </c>
      <c r="I84" s="4" t="str">
        <f>""</f>
        <v/>
      </c>
    </row>
    <row r="85" spans="1:9" x14ac:dyDescent="0.3">
      <c r="A85" s="1" t="str">
        <f>"02"</f>
        <v>02</v>
      </c>
      <c r="B85" s="4" t="str">
        <f>"DRM02"</f>
        <v>DRM02</v>
      </c>
      <c r="C85" s="4">
        <v>511663718</v>
      </c>
      <c r="D85" s="3" t="s">
        <v>0</v>
      </c>
      <c r="E85" s="2" t="str">
        <f>"PR0200022D"</f>
        <v>PR0200022D</v>
      </c>
      <c r="F85" s="5">
        <v>40942</v>
      </c>
      <c r="G85" s="5">
        <v>54789</v>
      </c>
      <c r="H85" s="4" t="str">
        <f>""</f>
        <v/>
      </c>
      <c r="I85" s="4" t="str">
        <f>""</f>
        <v/>
      </c>
    </row>
    <row r="86" spans="1:9" x14ac:dyDescent="0.3">
      <c r="A86" s="1" t="str">
        <f>"02"</f>
        <v>02</v>
      </c>
      <c r="B86" s="4" t="str">
        <f>"DRM02"</f>
        <v>DRM02</v>
      </c>
      <c r="C86" s="4">
        <v>511663718</v>
      </c>
      <c r="D86" s="3" t="s">
        <v>0</v>
      </c>
      <c r="E86" s="2" t="str">
        <f>"0005106773"</f>
        <v>0005106773</v>
      </c>
      <c r="F86" s="5">
        <v>43153</v>
      </c>
      <c r="G86" s="5">
        <v>54789</v>
      </c>
      <c r="H86" s="4" t="str">
        <f>""</f>
        <v/>
      </c>
      <c r="I86" s="4" t="str">
        <f>""</f>
        <v/>
      </c>
    </row>
    <row r="87" spans="1:9" x14ac:dyDescent="0.3">
      <c r="A87" s="1" t="str">
        <f>"02"</f>
        <v>02</v>
      </c>
      <c r="B87" s="4" t="str">
        <f>"ESKA"</f>
        <v>ESKA</v>
      </c>
      <c r="C87" s="4">
        <v>558502811</v>
      </c>
      <c r="D87" s="3" t="s">
        <v>0</v>
      </c>
      <c r="E87" s="2" t="str">
        <f>"PR0200016D"</f>
        <v>PR0200016D</v>
      </c>
      <c r="F87" s="5">
        <v>39666</v>
      </c>
      <c r="G87" s="5">
        <v>54789</v>
      </c>
      <c r="H87" s="4" t="str">
        <f>""</f>
        <v/>
      </c>
      <c r="I87" s="4" t="str">
        <f>""</f>
        <v/>
      </c>
    </row>
    <row r="88" spans="1:9" x14ac:dyDescent="0.3">
      <c r="A88" s="1" t="str">
        <f>"02"</f>
        <v>02</v>
      </c>
      <c r="B88" s="4" t="str">
        <f>"ESKA"</f>
        <v>ESKA</v>
      </c>
      <c r="C88" s="4">
        <v>558502811</v>
      </c>
      <c r="D88" s="3" t="s">
        <v>0</v>
      </c>
      <c r="E88" s="2" t="str">
        <f>"0005100048"</f>
        <v>0005100048</v>
      </c>
      <c r="F88" s="5">
        <v>43948</v>
      </c>
      <c r="G88" s="5">
        <v>54789</v>
      </c>
      <c r="H88" s="4" t="str">
        <f>""</f>
        <v/>
      </c>
      <c r="I88" s="4" t="str">
        <f>""</f>
        <v/>
      </c>
    </row>
    <row r="89" spans="1:9" x14ac:dyDescent="0.3">
      <c r="A89" s="1" t="str">
        <f>"02"</f>
        <v>02</v>
      </c>
      <c r="B89" s="4" t="str">
        <f>"STE HAUBOURDIN"</f>
        <v>STE HAUBOURDIN</v>
      </c>
      <c r="C89" s="4">
        <v>585780976</v>
      </c>
      <c r="D89" s="3" t="s">
        <v>0</v>
      </c>
      <c r="E89" s="2" t="str">
        <f>"0005100616"</f>
        <v>0005100616</v>
      </c>
      <c r="F89" s="5">
        <v>39373</v>
      </c>
      <c r="G89" s="5">
        <v>54789</v>
      </c>
      <c r="H89" s="4" t="str">
        <f>""</f>
        <v/>
      </c>
      <c r="I89" s="4" t="str">
        <f>""</f>
        <v/>
      </c>
    </row>
    <row r="90" spans="1:9" x14ac:dyDescent="0.3">
      <c r="A90" s="1" t="str">
        <f>"02"</f>
        <v>02</v>
      </c>
      <c r="B90" s="4" t="str">
        <f>"GUY DAUPHIN ENVIRONNEMENT"</f>
        <v>GUY DAUPHIN ENVIRONNEMENT</v>
      </c>
      <c r="C90" s="4">
        <v>653820530</v>
      </c>
      <c r="D90" s="3" t="s">
        <v>0</v>
      </c>
      <c r="E90" s="2" t="str">
        <f>"PR0200024D"</f>
        <v>PR0200024D</v>
      </c>
      <c r="F90" s="5">
        <v>41388</v>
      </c>
      <c r="G90" s="5">
        <v>54789</v>
      </c>
      <c r="H90" s="4" t="str">
        <f>""</f>
        <v/>
      </c>
      <c r="I90" s="4" t="str">
        <f>""</f>
        <v/>
      </c>
    </row>
    <row r="91" spans="1:9" x14ac:dyDescent="0.3">
      <c r="A91" s="1" t="str">
        <f>"02"</f>
        <v>02</v>
      </c>
      <c r="B91" s="4" t="str">
        <f>"GUY DAUPHIN ENVIRONNEMENT"</f>
        <v>GUY DAUPHIN ENVIRONNEMENT</v>
      </c>
      <c r="C91" s="4">
        <v>653820530</v>
      </c>
      <c r="D91" s="3" t="s">
        <v>0</v>
      </c>
      <c r="E91" s="2" t="str">
        <f>"0005105318"</f>
        <v>0005105318</v>
      </c>
      <c r="F91" s="5">
        <v>43571</v>
      </c>
      <c r="G91" s="5">
        <v>54789</v>
      </c>
      <c r="H91" s="4" t="str">
        <f>""</f>
        <v/>
      </c>
      <c r="I91" s="4" t="str">
        <f>""</f>
        <v/>
      </c>
    </row>
    <row r="92" spans="1:9" x14ac:dyDescent="0.3">
      <c r="A92" s="1" t="str">
        <f>"02"</f>
        <v>02</v>
      </c>
      <c r="B92" s="4" t="str">
        <f>"SAS LOCAL 32"</f>
        <v>SAS LOCAL 32</v>
      </c>
      <c r="C92" s="4">
        <v>753935618</v>
      </c>
      <c r="D92" s="3" t="s">
        <v>0</v>
      </c>
      <c r="E92" s="2" t="str">
        <f>"PR0200036D"</f>
        <v>PR0200036D</v>
      </c>
      <c r="F92" s="5">
        <v>45341</v>
      </c>
      <c r="G92" s="5">
        <v>54789</v>
      </c>
      <c r="H92" s="4" t="str">
        <f>""</f>
        <v/>
      </c>
      <c r="I92" s="4" t="str">
        <f>""</f>
        <v/>
      </c>
    </row>
    <row r="93" spans="1:9" x14ac:dyDescent="0.3">
      <c r="A93" s="1" t="str">
        <f>"02"</f>
        <v>02</v>
      </c>
      <c r="B93" s="4" t="str">
        <f>"SAS LOCAL 32"</f>
        <v>SAS LOCAL 32</v>
      </c>
      <c r="C93" s="4">
        <v>753935618</v>
      </c>
      <c r="D93" s="3" t="s">
        <v>0</v>
      </c>
      <c r="E93" s="2" t="str">
        <f>"0100025999"</f>
        <v>0100025999</v>
      </c>
      <c r="F93" s="5">
        <v>45341</v>
      </c>
      <c r="G93" s="5">
        <v>54789</v>
      </c>
      <c r="H93" s="4" t="str">
        <f>""</f>
        <v/>
      </c>
      <c r="I93" s="4" t="str">
        <f>""</f>
        <v/>
      </c>
    </row>
    <row r="94" spans="1:9" x14ac:dyDescent="0.3">
      <c r="A94" s="1" t="str">
        <f>"02"</f>
        <v>02</v>
      </c>
      <c r="B94" s="4" t="str">
        <f>"SOCIETE MAKO"</f>
        <v>SOCIETE MAKO</v>
      </c>
      <c r="C94" s="4">
        <v>798017950</v>
      </c>
      <c r="D94" s="3" t="s">
        <v>0</v>
      </c>
      <c r="E94" s="2" t="str">
        <f>"PR0200027D"</f>
        <v>PR0200027D</v>
      </c>
      <c r="F94" s="5">
        <v>42458</v>
      </c>
      <c r="G94" s="5">
        <v>54789</v>
      </c>
      <c r="H94" s="4" t="str">
        <f>""</f>
        <v/>
      </c>
      <c r="I94" s="4" t="str">
        <f>""</f>
        <v/>
      </c>
    </row>
    <row r="95" spans="1:9" x14ac:dyDescent="0.3">
      <c r="A95" s="1" t="str">
        <f>"02"</f>
        <v>02</v>
      </c>
      <c r="B95" s="4" t="str">
        <f>"GARAGE BEAUTOUR"</f>
        <v>GARAGE BEAUTOUR</v>
      </c>
      <c r="C95" s="4">
        <v>822157905</v>
      </c>
      <c r="D95" s="3" t="s">
        <v>0</v>
      </c>
      <c r="E95" s="2" t="str">
        <f>"PR0200033D"</f>
        <v>PR0200033D</v>
      </c>
      <c r="F95" s="5">
        <v>45097</v>
      </c>
      <c r="G95" s="5">
        <v>54789</v>
      </c>
      <c r="H95" s="4" t="str">
        <f>""</f>
        <v/>
      </c>
      <c r="I95" s="4" t="str">
        <f>""</f>
        <v/>
      </c>
    </row>
    <row r="96" spans="1:9" x14ac:dyDescent="0.3">
      <c r="A96" s="1" t="str">
        <f>"02"</f>
        <v>02</v>
      </c>
      <c r="B96" s="4" t="str">
        <f>"HAUREC"</f>
        <v>HAUREC</v>
      </c>
      <c r="C96" s="4">
        <v>823561485</v>
      </c>
      <c r="D96" s="3" t="s">
        <v>0</v>
      </c>
      <c r="E96" s="2" t="str">
        <f>"PR0200034D"</f>
        <v>PR0200034D</v>
      </c>
      <c r="F96" s="5">
        <v>45106</v>
      </c>
      <c r="G96" s="5">
        <v>54789</v>
      </c>
      <c r="H96" s="4" t="str">
        <f>""</f>
        <v/>
      </c>
      <c r="I96" s="4" t="str">
        <f>""</f>
        <v/>
      </c>
    </row>
    <row r="97" spans="1:9" x14ac:dyDescent="0.3">
      <c r="A97" s="1" t="str">
        <f>"02"</f>
        <v>02</v>
      </c>
      <c r="B97" s="4" t="str">
        <f>"SAS FM FRANCE MOTEURS"</f>
        <v>SAS FM FRANCE MOTEURS</v>
      </c>
      <c r="C97" s="4">
        <v>827613977</v>
      </c>
      <c r="D97" s="3" t="s">
        <v>0</v>
      </c>
      <c r="E97" s="2" t="str">
        <f>"PR0200029D"</f>
        <v>PR0200029D</v>
      </c>
      <c r="F97" s="5">
        <v>44735</v>
      </c>
      <c r="G97" s="5">
        <v>54789</v>
      </c>
      <c r="H97" s="4" t="str">
        <f>""</f>
        <v/>
      </c>
      <c r="I97" s="4" t="str">
        <f>""</f>
        <v/>
      </c>
    </row>
    <row r="98" spans="1:9" x14ac:dyDescent="0.3">
      <c r="A98" s="1" t="str">
        <f>"02"</f>
        <v>02</v>
      </c>
      <c r="B98" s="4" t="str">
        <f>"SAS FM FRANCE MOTEURS"</f>
        <v>SAS FM FRANCE MOTEURS</v>
      </c>
      <c r="C98" s="4">
        <v>827613977</v>
      </c>
      <c r="D98" s="3" t="s">
        <v>0</v>
      </c>
      <c r="E98" s="2" t="str">
        <f>"PR0200032D"</f>
        <v>PR0200032D</v>
      </c>
      <c r="F98" s="5">
        <v>44972</v>
      </c>
      <c r="G98" s="5">
        <v>54789</v>
      </c>
      <c r="H98" s="4" t="str">
        <f>""</f>
        <v/>
      </c>
      <c r="I98" s="4" t="str">
        <f>""</f>
        <v/>
      </c>
    </row>
    <row r="99" spans="1:9" x14ac:dyDescent="0.3">
      <c r="A99" s="1" t="str">
        <f>"02"</f>
        <v>02</v>
      </c>
      <c r="B99" s="4" t="str">
        <f>"SOCIETE ETMN"</f>
        <v>SOCIETE ETMN</v>
      </c>
      <c r="C99" s="4">
        <v>848075891</v>
      </c>
      <c r="D99" s="3" t="s">
        <v>0</v>
      </c>
      <c r="E99" s="2" t="str">
        <f>"0005106857"</f>
        <v>0005106857</v>
      </c>
      <c r="F99" s="5">
        <v>44972</v>
      </c>
      <c r="G99" s="5">
        <v>54789</v>
      </c>
      <c r="H99" s="4" t="str">
        <f>""</f>
        <v/>
      </c>
      <c r="I99" s="4" t="str">
        <f>""</f>
        <v/>
      </c>
    </row>
    <row r="100" spans="1:9" x14ac:dyDescent="0.3">
      <c r="A100" s="1" t="str">
        <f>"02"</f>
        <v>02</v>
      </c>
      <c r="B100" s="4" t="str">
        <f>"SOCIETE ETMN"</f>
        <v>SOCIETE ETMN</v>
      </c>
      <c r="C100" s="4">
        <v>848075891</v>
      </c>
      <c r="D100" s="3" t="s">
        <v>0</v>
      </c>
      <c r="E100" s="2" t="str">
        <f>"PR0200031D"</f>
        <v>PR0200031D</v>
      </c>
      <c r="F100" s="5">
        <v>44972</v>
      </c>
      <c r="G100" s="5">
        <v>54789</v>
      </c>
      <c r="H100" s="4" t="str">
        <f>""</f>
        <v/>
      </c>
      <c r="I100" s="4" t="str">
        <f>""</f>
        <v/>
      </c>
    </row>
    <row r="101" spans="1:9" x14ac:dyDescent="0.3">
      <c r="A101" s="1" t="str">
        <f>"02"</f>
        <v>02</v>
      </c>
      <c r="B101" s="4" t="str">
        <f>"AISNE RECYCLAGE"</f>
        <v>AISNE RECYCLAGE</v>
      </c>
      <c r="C101" s="4">
        <v>888716172</v>
      </c>
      <c r="D101" s="3" t="s">
        <v>0</v>
      </c>
      <c r="E101" s="2" t="str">
        <f>"PR0200035D"</f>
        <v>PR0200035D</v>
      </c>
      <c r="F101" s="5">
        <v>45265</v>
      </c>
      <c r="G101" s="5">
        <v>54789</v>
      </c>
      <c r="H101" s="4" t="str">
        <f>""</f>
        <v/>
      </c>
      <c r="I101" s="4" t="str">
        <f>""</f>
        <v/>
      </c>
    </row>
    <row r="102" spans="1:9" x14ac:dyDescent="0.3">
      <c r="A102" s="1" t="str">
        <f>"02"</f>
        <v>02</v>
      </c>
      <c r="B102" s="4" t="str">
        <f>"AISNE RECYCLAGE"</f>
        <v>AISNE RECYCLAGE</v>
      </c>
      <c r="C102" s="4">
        <v>888716172</v>
      </c>
      <c r="D102" s="3" t="s">
        <v>0</v>
      </c>
      <c r="E102" s="2" t="str">
        <f>"100024388"</f>
        <v>100024388</v>
      </c>
      <c r="F102" s="5">
        <v>45265</v>
      </c>
      <c r="G102" s="5">
        <v>54789</v>
      </c>
      <c r="H102" s="4" t="str">
        <f>""</f>
        <v/>
      </c>
      <c r="I102" s="4" t="str">
        <f>""</f>
        <v/>
      </c>
    </row>
    <row r="103" spans="1:9" x14ac:dyDescent="0.3">
      <c r="A103" s="1" t="str">
        <f>"03"</f>
        <v>03</v>
      </c>
      <c r="B103" s="4" t="str">
        <f>"SAS DEJOUX"</f>
        <v>SAS DEJOUX</v>
      </c>
      <c r="C103" s="4">
        <v>312913866</v>
      </c>
      <c r="D103" s="3" t="s">
        <v>0</v>
      </c>
      <c r="E103" s="2" t="str">
        <f>"0005600058"</f>
        <v>0005600058</v>
      </c>
      <c r="F103" s="5">
        <v>43021</v>
      </c>
      <c r="G103" s="5">
        <v>54789</v>
      </c>
      <c r="H103" s="4" t="str">
        <f>""</f>
        <v/>
      </c>
      <c r="I103" s="4" t="str">
        <f>""</f>
        <v/>
      </c>
    </row>
    <row r="104" spans="1:9" x14ac:dyDescent="0.3">
      <c r="A104" s="1" t="str">
        <f>"03"</f>
        <v>03</v>
      </c>
      <c r="B104" s="4" t="str">
        <f>"SAS DEJOUX"</f>
        <v>SAS DEJOUX</v>
      </c>
      <c r="C104" s="4">
        <v>312913866</v>
      </c>
      <c r="D104" s="3" t="s">
        <v>0</v>
      </c>
      <c r="E104" s="2" t="str">
        <f>"PR0300002D"</f>
        <v>PR0300002D</v>
      </c>
      <c r="F104" s="5">
        <v>41017</v>
      </c>
      <c r="G104" s="5">
        <v>54789</v>
      </c>
      <c r="H104" s="4" t="str">
        <f>""</f>
        <v/>
      </c>
      <c r="I104" s="4" t="str">
        <f>""</f>
        <v/>
      </c>
    </row>
    <row r="105" spans="1:9" x14ac:dyDescent="0.3">
      <c r="A105" s="1" t="str">
        <f>"03"</f>
        <v>03</v>
      </c>
      <c r="B105" s="4" t="str">
        <f>"SARL F1"</f>
        <v>SARL F1</v>
      </c>
      <c r="C105" s="4">
        <v>331576884</v>
      </c>
      <c r="D105" s="3" t="s">
        <v>0</v>
      </c>
      <c r="E105" s="2" t="str">
        <f>"PR0300001D"</f>
        <v>PR0300001D</v>
      </c>
      <c r="F105" s="5">
        <v>38820</v>
      </c>
      <c r="G105" s="5">
        <v>54789</v>
      </c>
      <c r="H105" s="4" t="str">
        <f>""</f>
        <v/>
      </c>
      <c r="I105" s="4" t="str">
        <f>""</f>
        <v/>
      </c>
    </row>
    <row r="106" spans="1:9" x14ac:dyDescent="0.3">
      <c r="A106" s="1" t="str">
        <f>"03"</f>
        <v>03</v>
      </c>
      <c r="B106" s="4" t="str">
        <f>"TILT AUTO"</f>
        <v>TILT AUTO</v>
      </c>
      <c r="C106" s="4">
        <v>337920532</v>
      </c>
      <c r="D106" s="3" t="s">
        <v>0</v>
      </c>
      <c r="E106" s="2" t="str">
        <f>"PR0300003D"</f>
        <v>PR0300003D</v>
      </c>
      <c r="F106" s="5">
        <v>43378</v>
      </c>
      <c r="G106" s="5">
        <v>54789</v>
      </c>
      <c r="H106" s="4" t="str">
        <f>""</f>
        <v/>
      </c>
      <c r="I106" s="4" t="str">
        <f>""</f>
        <v/>
      </c>
    </row>
    <row r="107" spans="1:9" x14ac:dyDescent="0.3">
      <c r="A107" s="1" t="str">
        <f>"03"</f>
        <v>03</v>
      </c>
      <c r="B107" s="4" t="str">
        <f>"SARL CALARD PERE ET FILS"</f>
        <v>SARL CALARD PERE ET FILS</v>
      </c>
      <c r="C107" s="4">
        <v>349759936</v>
      </c>
      <c r="D107" s="3" t="s">
        <v>0</v>
      </c>
      <c r="E107" s="2" t="str">
        <f>"PR0300010D"</f>
        <v>PR0300010D</v>
      </c>
      <c r="F107" s="5">
        <v>41554</v>
      </c>
      <c r="G107" s="5">
        <v>54789</v>
      </c>
      <c r="H107" s="4" t="str">
        <f>""</f>
        <v/>
      </c>
      <c r="I107" s="4" t="str">
        <f>""</f>
        <v/>
      </c>
    </row>
    <row r="108" spans="1:9" x14ac:dyDescent="0.3">
      <c r="A108" s="1" t="str">
        <f>"03"</f>
        <v>03</v>
      </c>
      <c r="B108" s="4" t="str">
        <f>"CHOC 03"</f>
        <v>CHOC 03</v>
      </c>
      <c r="C108" s="4">
        <v>377923834</v>
      </c>
      <c r="D108" s="3" t="s">
        <v>0</v>
      </c>
      <c r="E108" s="2" t="str">
        <f>"PR0300013D"</f>
        <v>PR0300013D</v>
      </c>
      <c r="F108" s="5">
        <v>39562</v>
      </c>
      <c r="G108" s="5">
        <v>54789</v>
      </c>
      <c r="H108" s="4" t="str">
        <f>""</f>
        <v/>
      </c>
      <c r="I108" s="4" t="str">
        <f>""</f>
        <v/>
      </c>
    </row>
    <row r="109" spans="1:9" x14ac:dyDescent="0.3">
      <c r="A109" s="1" t="str">
        <f>"03"</f>
        <v>03</v>
      </c>
      <c r="B109" s="4" t="str">
        <f>"SARL N7 AUTO PIECES"</f>
        <v>SARL N7 AUTO PIECES</v>
      </c>
      <c r="C109" s="4">
        <v>428645477</v>
      </c>
      <c r="D109" s="3" t="s">
        <v>0</v>
      </c>
      <c r="E109" s="2" t="str">
        <f>"PR0300019D"</f>
        <v>PR0300019D</v>
      </c>
      <c r="F109" s="5">
        <v>43761</v>
      </c>
      <c r="G109" s="5">
        <v>54789</v>
      </c>
      <c r="H109" s="4" t="str">
        <f>""</f>
        <v/>
      </c>
      <c r="I109" s="4" t="str">
        <f>""</f>
        <v/>
      </c>
    </row>
    <row r="110" spans="1:9" x14ac:dyDescent="0.3">
      <c r="A110" s="1" t="str">
        <f>"03"</f>
        <v>03</v>
      </c>
      <c r="B110" s="4" t="str">
        <f>"PRAXY CENTRE"</f>
        <v>PRAXY CENTRE</v>
      </c>
      <c r="C110" s="4">
        <v>428645477</v>
      </c>
      <c r="D110" s="3" t="s">
        <v>0</v>
      </c>
      <c r="E110" s="2" t="str">
        <f>"0005600032"</f>
        <v>0005600032</v>
      </c>
      <c r="F110" s="5">
        <v>43761</v>
      </c>
      <c r="G110" s="5">
        <v>54789</v>
      </c>
      <c r="H110" s="4" t="str">
        <f>""</f>
        <v/>
      </c>
      <c r="I110" s="4" t="str">
        <f>""</f>
        <v/>
      </c>
    </row>
    <row r="111" spans="1:9" x14ac:dyDescent="0.3">
      <c r="A111" s="1" t="str">
        <f>"03"</f>
        <v>03</v>
      </c>
      <c r="B111" s="4" t="str">
        <f>"SARL N7 AUTO PIECES"</f>
        <v>SARL N7 AUTO PIECES</v>
      </c>
      <c r="C111" s="4">
        <v>428645477</v>
      </c>
      <c r="D111" s="3" t="s">
        <v>0</v>
      </c>
      <c r="E111" s="2" t="str">
        <f>"0003202524"</f>
        <v>0003202524</v>
      </c>
      <c r="F111" s="5">
        <v>43761</v>
      </c>
      <c r="G111" s="5">
        <v>54789</v>
      </c>
      <c r="H111" s="4" t="str">
        <f>""</f>
        <v/>
      </c>
      <c r="I111" s="4" t="str">
        <f>""</f>
        <v/>
      </c>
    </row>
    <row r="112" spans="1:9" x14ac:dyDescent="0.3">
      <c r="A112" s="1" t="str">
        <f>"03"</f>
        <v>03</v>
      </c>
      <c r="B112" s="4" t="str">
        <f>"SARL N7 AUTO PIECES"</f>
        <v>SARL N7 AUTO PIECES</v>
      </c>
      <c r="C112" s="4">
        <v>428645477</v>
      </c>
      <c r="D112" s="3" t="s">
        <v>0</v>
      </c>
      <c r="E112" s="2" t="str">
        <f>"PR0300006D"</f>
        <v>PR0300006D</v>
      </c>
      <c r="F112" s="5">
        <v>39224</v>
      </c>
      <c r="G112" s="5">
        <v>54789</v>
      </c>
      <c r="H112" s="4" t="str">
        <f>""</f>
        <v/>
      </c>
      <c r="I112" s="4" t="str">
        <f>""</f>
        <v/>
      </c>
    </row>
    <row r="113" spans="1:9" x14ac:dyDescent="0.3">
      <c r="A113" s="1" t="str">
        <f>"03"</f>
        <v>03</v>
      </c>
      <c r="B113" s="4" t="str">
        <f>"CHOC'03"</f>
        <v>CHOC'03</v>
      </c>
      <c r="C113" s="4">
        <v>497586891</v>
      </c>
      <c r="D113" s="3" t="s">
        <v>0</v>
      </c>
      <c r="E113" s="2" t="str">
        <f>"0005601775"</f>
        <v>0005601775</v>
      </c>
      <c r="F113" s="5">
        <v>41733</v>
      </c>
      <c r="G113" s="5">
        <v>54789</v>
      </c>
      <c r="H113" s="4" t="str">
        <f>""</f>
        <v/>
      </c>
      <c r="I113" s="4" t="str">
        <f>""</f>
        <v/>
      </c>
    </row>
    <row r="114" spans="1:9" x14ac:dyDescent="0.3">
      <c r="A114" s="1" t="str">
        <f>"03"</f>
        <v>03</v>
      </c>
      <c r="B114" s="4" t="str">
        <f>"PRAXY CENTRE"</f>
        <v>PRAXY CENTRE</v>
      </c>
      <c r="C114" s="4">
        <v>518205976</v>
      </c>
      <c r="D114" s="3" t="s">
        <v>0</v>
      </c>
      <c r="E114" s="2" t="str">
        <f>"PR0300009D"</f>
        <v>PR0300009D</v>
      </c>
      <c r="F114" s="5">
        <v>41437</v>
      </c>
      <c r="G114" s="5">
        <v>54789</v>
      </c>
      <c r="H114" s="4" t="str">
        <f>""</f>
        <v/>
      </c>
      <c r="I114" s="4" t="str">
        <f>""</f>
        <v/>
      </c>
    </row>
    <row r="115" spans="1:9" x14ac:dyDescent="0.3">
      <c r="A115" s="1" t="str">
        <f>"03"</f>
        <v>03</v>
      </c>
      <c r="B115" s="4" t="str">
        <f>"Société REVIVAL"</f>
        <v>Société REVIVAL</v>
      </c>
      <c r="C115" s="4">
        <v>616620092</v>
      </c>
      <c r="D115" s="3" t="s">
        <v>0</v>
      </c>
      <c r="E115" s="2" t="str">
        <f>"PR0300014D"</f>
        <v>PR0300014D</v>
      </c>
      <c r="F115" s="5">
        <v>43531</v>
      </c>
      <c r="G115" s="5">
        <v>54789</v>
      </c>
      <c r="H115" s="4" t="str">
        <f>""</f>
        <v/>
      </c>
      <c r="I115" s="4" t="str">
        <f>""</f>
        <v/>
      </c>
    </row>
    <row r="116" spans="1:9" x14ac:dyDescent="0.3">
      <c r="A116" s="1" t="str">
        <f>"03"</f>
        <v>03</v>
      </c>
      <c r="B116" s="4" t="str">
        <f>"SOCIETE EPUR CENTRE"</f>
        <v>SOCIETE EPUR CENTRE</v>
      </c>
      <c r="C116" s="4">
        <v>687050369</v>
      </c>
      <c r="D116" s="3" t="s">
        <v>0</v>
      </c>
      <c r="E116" s="2" t="str">
        <f>"PR030018D"</f>
        <v>PR030018D</v>
      </c>
      <c r="F116" s="5">
        <v>41967</v>
      </c>
      <c r="G116" s="5">
        <v>54789</v>
      </c>
      <c r="H116" s="4" t="str">
        <f>""</f>
        <v/>
      </c>
      <c r="I116" s="4" t="str">
        <f>""</f>
        <v/>
      </c>
    </row>
    <row r="117" spans="1:9" x14ac:dyDescent="0.3">
      <c r="A117" s="1" t="str">
        <f>"03"</f>
        <v>03</v>
      </c>
      <c r="B117" s="4" t="str">
        <f>"ETABLISSEMENTS CLAUDE BARSSE"</f>
        <v>ETABLISSEMENTS CLAUDE BARSSE</v>
      </c>
      <c r="C117" s="4">
        <v>779043827</v>
      </c>
      <c r="D117" s="3" t="s">
        <v>0</v>
      </c>
      <c r="E117" s="2" t="str">
        <f>"PR030017D"</f>
        <v>PR030017D</v>
      </c>
      <c r="F117" s="5">
        <v>39966</v>
      </c>
      <c r="G117" s="5">
        <v>54789</v>
      </c>
      <c r="H117" s="4" t="str">
        <f>""</f>
        <v/>
      </c>
      <c r="I117" s="4" t="str">
        <f>""</f>
        <v/>
      </c>
    </row>
    <row r="118" spans="1:9" x14ac:dyDescent="0.3">
      <c r="A118" s="1" t="str">
        <f>"03"</f>
        <v>03</v>
      </c>
      <c r="B118" s="4" t="str">
        <f>"DABEC SAS"</f>
        <v>DABEC SAS</v>
      </c>
      <c r="C118" s="4">
        <v>810325134</v>
      </c>
      <c r="D118" s="3" t="s">
        <v>0</v>
      </c>
      <c r="E118" s="2" t="str">
        <f>"0005600106"</f>
        <v>0005600106</v>
      </c>
      <c r="F118" s="5">
        <v>39083</v>
      </c>
      <c r="G118" s="5">
        <v>54789</v>
      </c>
      <c r="H118" s="4" t="str">
        <f>""</f>
        <v/>
      </c>
      <c r="I118" s="4" t="str">
        <f>""</f>
        <v/>
      </c>
    </row>
    <row r="119" spans="1:9" x14ac:dyDescent="0.3">
      <c r="A119" s="1" t="str">
        <f>"03"</f>
        <v>03</v>
      </c>
      <c r="B119" s="4" t="str">
        <f>"DABEC SAS"</f>
        <v>DABEC SAS</v>
      </c>
      <c r="C119" s="4">
        <v>810325134</v>
      </c>
      <c r="D119" s="3" t="s">
        <v>0</v>
      </c>
      <c r="E119" s="2" t="str">
        <f>"PR0300012D"</f>
        <v>PR0300012D</v>
      </c>
      <c r="F119" s="5">
        <v>42277</v>
      </c>
      <c r="G119" s="5">
        <v>54789</v>
      </c>
      <c r="H119" s="4" t="str">
        <f>""</f>
        <v/>
      </c>
      <c r="I119" s="4" t="str">
        <f>""</f>
        <v/>
      </c>
    </row>
    <row r="120" spans="1:9" x14ac:dyDescent="0.3">
      <c r="A120" s="1" t="str">
        <f>"03"</f>
        <v>03</v>
      </c>
      <c r="B120" s="4" t="str">
        <f>"SAS RECUP'AUTO"</f>
        <v>SAS RECUP'AUTO</v>
      </c>
      <c r="C120" s="4">
        <v>831099007</v>
      </c>
      <c r="D120" s="3" t="s">
        <v>0</v>
      </c>
      <c r="E120" s="2" t="str">
        <f>"PR0300004D"</f>
        <v>PR0300004D</v>
      </c>
      <c r="F120" s="5">
        <v>43021</v>
      </c>
      <c r="G120" s="5">
        <v>54789</v>
      </c>
      <c r="H120" s="4" t="str">
        <f>""</f>
        <v/>
      </c>
      <c r="I120" s="4" t="str">
        <f>""</f>
        <v/>
      </c>
    </row>
    <row r="121" spans="1:9" x14ac:dyDescent="0.3">
      <c r="A121" s="1" t="str">
        <f>"04"</f>
        <v>04</v>
      </c>
      <c r="B121" s="4" t="str">
        <f>"PAO"</f>
        <v>PAO</v>
      </c>
      <c r="C121" s="4">
        <v>319766192</v>
      </c>
      <c r="D121" s="3" t="s">
        <v>0</v>
      </c>
      <c r="E121" s="2" t="str">
        <f>"PR0400003D"</f>
        <v>PR0400003D</v>
      </c>
      <c r="F121" s="5">
        <v>39379</v>
      </c>
      <c r="G121" s="5">
        <v>54789</v>
      </c>
      <c r="H121" s="4" t="str">
        <f>""</f>
        <v/>
      </c>
      <c r="I121" s="4" t="str">
        <f>""</f>
        <v/>
      </c>
    </row>
    <row r="122" spans="1:9" x14ac:dyDescent="0.3">
      <c r="A122" s="1" t="str">
        <f>"04"</f>
        <v>04</v>
      </c>
      <c r="B122" s="4" t="str">
        <f>"DURANCE AUTO"</f>
        <v>DURANCE AUTO</v>
      </c>
      <c r="C122" s="4">
        <v>388147340</v>
      </c>
      <c r="D122" s="3" t="s">
        <v>0</v>
      </c>
      <c r="E122" s="2" t="str">
        <f>"0006407951"</f>
        <v>0006407951</v>
      </c>
      <c r="F122" s="5">
        <v>43218</v>
      </c>
      <c r="G122" s="5">
        <v>54789</v>
      </c>
      <c r="H122" s="4" t="str">
        <f>""</f>
        <v/>
      </c>
      <c r="I122" s="4" t="str">
        <f>""</f>
        <v/>
      </c>
    </row>
    <row r="123" spans="1:9" x14ac:dyDescent="0.3">
      <c r="A123" s="1" t="str">
        <f>"04"</f>
        <v>04</v>
      </c>
      <c r="B123" s="4" t="str">
        <f>"CMR"</f>
        <v>CMR</v>
      </c>
      <c r="C123" s="4">
        <v>399517168</v>
      </c>
      <c r="D123" s="3" t="s">
        <v>0</v>
      </c>
      <c r="E123" s="2" t="str">
        <f>"PR0400002D"</f>
        <v>PR0400002D</v>
      </c>
      <c r="F123" s="5">
        <v>39370</v>
      </c>
      <c r="G123" s="5">
        <v>54789</v>
      </c>
      <c r="H123" s="4" t="str">
        <f>""</f>
        <v/>
      </c>
      <c r="I123" s="4" t="str">
        <f>""</f>
        <v/>
      </c>
    </row>
    <row r="124" spans="1:9" x14ac:dyDescent="0.3">
      <c r="A124" s="1" t="str">
        <f>"04"</f>
        <v>04</v>
      </c>
      <c r="B124" s="4" t="str">
        <f>"CMR"</f>
        <v>CMR</v>
      </c>
      <c r="C124" s="4">
        <v>399517168</v>
      </c>
      <c r="D124" s="3" t="s">
        <v>0</v>
      </c>
      <c r="E124" s="2" t="str">
        <f>"PR0400002D"</f>
        <v>PR0400002D</v>
      </c>
      <c r="F124" s="5">
        <v>39370</v>
      </c>
      <c r="G124" s="5">
        <v>54789</v>
      </c>
      <c r="H124" s="4" t="str">
        <f>""</f>
        <v/>
      </c>
      <c r="I124" s="4" t="str">
        <f>""</f>
        <v/>
      </c>
    </row>
    <row r="125" spans="1:9" x14ac:dyDescent="0.3">
      <c r="A125" s="1" t="str">
        <f>"04"</f>
        <v>04</v>
      </c>
      <c r="B125" s="4" t="str">
        <f>"CMR"</f>
        <v>CMR</v>
      </c>
      <c r="C125" s="4">
        <v>399517168</v>
      </c>
      <c r="D125" s="3" t="s">
        <v>0</v>
      </c>
      <c r="E125" s="2" t="str">
        <f>"0006400816"</f>
        <v>0006400816</v>
      </c>
      <c r="F125" s="5">
        <v>44459</v>
      </c>
      <c r="G125" s="5">
        <v>54789</v>
      </c>
      <c r="H125" s="4" t="str">
        <f>""</f>
        <v/>
      </c>
      <c r="I125" s="4" t="str">
        <f>""</f>
        <v/>
      </c>
    </row>
    <row r="126" spans="1:9" x14ac:dyDescent="0.3">
      <c r="A126" s="1" t="str">
        <f>"04"</f>
        <v>04</v>
      </c>
      <c r="B126" s="4" t="str">
        <f>"SARL FERRARI"</f>
        <v>SARL FERRARI</v>
      </c>
      <c r="C126" s="4">
        <v>400723854</v>
      </c>
      <c r="D126" s="3" t="s">
        <v>0</v>
      </c>
      <c r="E126" s="2" t="str">
        <f>"PR0400006D"</f>
        <v>PR0400006D</v>
      </c>
      <c r="F126" s="5">
        <v>43335</v>
      </c>
      <c r="G126" s="5">
        <v>54789</v>
      </c>
      <c r="H126" s="4" t="str">
        <f>""</f>
        <v/>
      </c>
      <c r="I126" s="4" t="str">
        <f>""</f>
        <v/>
      </c>
    </row>
    <row r="127" spans="1:9" x14ac:dyDescent="0.3">
      <c r="A127" s="1" t="str">
        <f>"04"</f>
        <v>04</v>
      </c>
      <c r="B127" s="4" t="str">
        <f>"CARROSSERIE DU MOULIN"</f>
        <v>CARROSSERIE DU MOULIN</v>
      </c>
      <c r="C127" s="4">
        <v>447685801</v>
      </c>
      <c r="D127" s="3" t="s">
        <v>0</v>
      </c>
      <c r="E127" s="2" t="str">
        <f>"PR0400007D"</f>
        <v>PR0400007D</v>
      </c>
      <c r="F127" s="5">
        <v>42514</v>
      </c>
      <c r="G127" s="5">
        <v>54789</v>
      </c>
      <c r="H127" s="4" t="str">
        <f>""</f>
        <v/>
      </c>
      <c r="I127" s="4" t="str">
        <f>""</f>
        <v/>
      </c>
    </row>
    <row r="128" spans="1:9" x14ac:dyDescent="0.3">
      <c r="A128" s="1" t="str">
        <f>"04"</f>
        <v>04</v>
      </c>
      <c r="B128" s="4" t="str">
        <f>"CARROSSERIE DU MOULIN"</f>
        <v>CARROSSERIE DU MOULIN</v>
      </c>
      <c r="C128" s="4">
        <v>447685801</v>
      </c>
      <c r="D128" s="3" t="s">
        <v>0</v>
      </c>
      <c r="E128" s="2" t="str">
        <f>"0006412565"</f>
        <v>0006412565</v>
      </c>
      <c r="F128" s="5">
        <v>42514</v>
      </c>
      <c r="G128" s="5">
        <v>54789</v>
      </c>
      <c r="H128" s="4" t="str">
        <f>""</f>
        <v/>
      </c>
      <c r="I128" s="4" t="str">
        <f>""</f>
        <v/>
      </c>
    </row>
    <row r="129" spans="1:9" x14ac:dyDescent="0.3">
      <c r="A129" s="1" t="str">
        <f>"04"</f>
        <v>04</v>
      </c>
      <c r="B129" s="4" t="str">
        <f>"EURL BAPTISTE"</f>
        <v>EURL BAPTISTE</v>
      </c>
      <c r="C129" s="4">
        <v>507561900</v>
      </c>
      <c r="D129" s="3" t="s">
        <v>0</v>
      </c>
      <c r="E129" s="2" t="str">
        <f>"PR0400005D"</f>
        <v>PR0400005D</v>
      </c>
      <c r="F129" s="5">
        <v>40284</v>
      </c>
      <c r="G129" s="5">
        <v>54789</v>
      </c>
      <c r="H129" s="4" t="str">
        <f>""</f>
        <v/>
      </c>
      <c r="I129" s="4" t="str">
        <f>""</f>
        <v/>
      </c>
    </row>
    <row r="130" spans="1:9" x14ac:dyDescent="0.3">
      <c r="A130" s="1" t="str">
        <f>"04"</f>
        <v>04</v>
      </c>
      <c r="B130" s="4" t="str">
        <f>"EURL BAPTISTE"</f>
        <v>EURL BAPTISTE</v>
      </c>
      <c r="C130" s="4">
        <v>507561900</v>
      </c>
      <c r="D130" s="3" t="s">
        <v>0</v>
      </c>
      <c r="E130" s="2" t="str">
        <f>"0006407949"</f>
        <v>0006407949</v>
      </c>
      <c r="F130" s="5">
        <v>42473</v>
      </c>
      <c r="G130" s="5">
        <v>54789</v>
      </c>
      <c r="H130" s="4" t="str">
        <f>""</f>
        <v/>
      </c>
      <c r="I130" s="4" t="str">
        <f>""</f>
        <v/>
      </c>
    </row>
    <row r="131" spans="1:9" x14ac:dyDescent="0.3">
      <c r="A131" s="1" t="str">
        <f>"04"</f>
        <v>04</v>
      </c>
      <c r="B131" s="4" t="str">
        <f>"MANOSQUE RECUPERATION AUTO"</f>
        <v>MANOSQUE RECUPERATION AUTO</v>
      </c>
      <c r="C131" s="4">
        <v>533135919</v>
      </c>
      <c r="D131" s="3" t="s">
        <v>0</v>
      </c>
      <c r="E131" s="2" t="str">
        <f>"PR0400001D"</f>
        <v>PR0400001D</v>
      </c>
      <c r="F131" s="5">
        <v>43304</v>
      </c>
      <c r="G131" s="5">
        <v>54789</v>
      </c>
      <c r="H131" s="4" t="str">
        <f>""</f>
        <v/>
      </c>
      <c r="I131" s="4" t="str">
        <f>""</f>
        <v/>
      </c>
    </row>
    <row r="132" spans="1:9" x14ac:dyDescent="0.3">
      <c r="A132" s="1" t="str">
        <f>"04"</f>
        <v>04</v>
      </c>
      <c r="B132" s="4" t="str">
        <f>"VAR METAUX"</f>
        <v>VAR METAUX</v>
      </c>
      <c r="C132" s="4">
        <v>533135919</v>
      </c>
      <c r="D132" s="3" t="s">
        <v>0</v>
      </c>
      <c r="E132" s="2" t="str">
        <f>"0006400850"</f>
        <v>0006400850</v>
      </c>
      <c r="F132" s="5">
        <v>44286</v>
      </c>
      <c r="G132" s="5">
        <v>54789</v>
      </c>
      <c r="H132" s="4" t="str">
        <f>""</f>
        <v/>
      </c>
      <c r="I132" s="4" t="str">
        <f>""</f>
        <v/>
      </c>
    </row>
    <row r="133" spans="1:9" x14ac:dyDescent="0.3">
      <c r="A133" s="1" t="str">
        <f>"04"</f>
        <v>04</v>
      </c>
      <c r="B133" s="4" t="str">
        <f>"VAR METAUX"</f>
        <v>VAR METAUX</v>
      </c>
      <c r="C133" s="4">
        <v>844614701</v>
      </c>
      <c r="D133" s="3" t="s">
        <v>0</v>
      </c>
      <c r="E133" s="2" t="str">
        <f>"PR0400008D"</f>
        <v>PR0400008D</v>
      </c>
      <c r="F133" s="5">
        <v>44286</v>
      </c>
      <c r="G133" s="5">
        <v>54789</v>
      </c>
      <c r="H133" s="4" t="str">
        <f>""</f>
        <v/>
      </c>
      <c r="I133" s="4" t="str">
        <f>""</f>
        <v/>
      </c>
    </row>
    <row r="134" spans="1:9" x14ac:dyDescent="0.3">
      <c r="A134" s="1" t="str">
        <f>"05"</f>
        <v>05</v>
      </c>
      <c r="B134" s="4" t="str">
        <f>"EYMERY RECUPERATION"</f>
        <v>EYMERY RECUPERATION</v>
      </c>
      <c r="C134" s="4">
        <v>378907968</v>
      </c>
      <c r="D134" s="3" t="s">
        <v>0</v>
      </c>
      <c r="E134" s="2" t="str">
        <f>"PR0500003D"</f>
        <v>PR0500003D</v>
      </c>
      <c r="F134" s="5">
        <v>39038</v>
      </c>
      <c r="G134" s="5">
        <v>54789</v>
      </c>
      <c r="H134" s="4" t="str">
        <f>""</f>
        <v/>
      </c>
      <c r="I134" s="4" t="str">
        <f>""</f>
        <v/>
      </c>
    </row>
    <row r="135" spans="1:9" x14ac:dyDescent="0.3">
      <c r="A135" s="1" t="str">
        <f>"05"</f>
        <v>05</v>
      </c>
      <c r="B135" s="4" t="str">
        <f>"SARL CASSE AUTO 05"</f>
        <v>SARL CASSE AUTO 05</v>
      </c>
      <c r="C135" s="4">
        <v>391685096</v>
      </c>
      <c r="D135" s="3" t="s">
        <v>0</v>
      </c>
      <c r="E135" s="2" t="str">
        <f>"PR0500002D"</f>
        <v>PR0500002D</v>
      </c>
      <c r="F135" s="5">
        <v>43411</v>
      </c>
      <c r="G135" s="5">
        <v>54789</v>
      </c>
      <c r="H135" s="4" t="str">
        <f>""</f>
        <v/>
      </c>
      <c r="I135" s="4" t="str">
        <f>""</f>
        <v/>
      </c>
    </row>
    <row r="136" spans="1:9" x14ac:dyDescent="0.3">
      <c r="A136" s="1" t="str">
        <f>"05"</f>
        <v>05</v>
      </c>
      <c r="B136" s="4" t="str">
        <f>"SARL KINTZ FRERES"</f>
        <v>SARL KINTZ FRERES</v>
      </c>
      <c r="C136" s="4">
        <v>393553235</v>
      </c>
      <c r="D136" s="3" t="s">
        <v>0</v>
      </c>
      <c r="E136" s="2" t="str">
        <f>"PR0500004D"</f>
        <v>PR0500004D</v>
      </c>
      <c r="F136" s="5">
        <v>43468</v>
      </c>
      <c r="G136" s="5">
        <v>54789</v>
      </c>
      <c r="H136" s="4" t="str">
        <f>""</f>
        <v/>
      </c>
      <c r="I136" s="4" t="str">
        <f>""</f>
        <v/>
      </c>
    </row>
    <row r="137" spans="1:9" x14ac:dyDescent="0.3">
      <c r="A137" s="1" t="str">
        <f>"05"</f>
        <v>05</v>
      </c>
      <c r="B137" s="4" t="str">
        <f>"SARL LELIEVRE RECYCLAGE"</f>
        <v>SARL LELIEVRE RECYCLAGE</v>
      </c>
      <c r="C137" s="4">
        <v>440743029</v>
      </c>
      <c r="D137" s="3" t="s">
        <v>0</v>
      </c>
      <c r="E137" s="2" t="str">
        <f>"PR0500005D"</f>
        <v>PR0500005D</v>
      </c>
      <c r="F137" s="5">
        <v>43966</v>
      </c>
      <c r="G137" s="5">
        <v>54789</v>
      </c>
      <c r="H137" s="4" t="str">
        <f>""</f>
        <v/>
      </c>
      <c r="I137" s="4" t="str">
        <f>""</f>
        <v/>
      </c>
    </row>
    <row r="138" spans="1:9" x14ac:dyDescent="0.3">
      <c r="A138" s="1" t="str">
        <f>"05"</f>
        <v>05</v>
      </c>
      <c r="B138" s="4" t="str">
        <f>"PIECES AUTO GAP"</f>
        <v>PIECES AUTO GAP</v>
      </c>
      <c r="C138" s="4">
        <v>443207147</v>
      </c>
      <c r="D138" s="3" t="s">
        <v>0</v>
      </c>
      <c r="E138" s="2" t="str">
        <f>"PR0500001D"</f>
        <v>PR0500001D</v>
      </c>
      <c r="F138" s="5">
        <v>41918</v>
      </c>
      <c r="G138" s="5">
        <v>54789</v>
      </c>
      <c r="H138" s="4" t="str">
        <f>""</f>
        <v/>
      </c>
      <c r="I138" s="4" t="str">
        <f>""</f>
        <v/>
      </c>
    </row>
    <row r="139" spans="1:9" x14ac:dyDescent="0.3">
      <c r="A139" s="1" t="str">
        <f>"05"</f>
        <v>05</v>
      </c>
      <c r="B139" s="4" t="str">
        <f>"NOUVEAU CHRISTOPHE"</f>
        <v>NOUVEAU CHRISTOPHE</v>
      </c>
      <c r="C139" s="4">
        <v>481997732</v>
      </c>
      <c r="D139" s="3" t="s">
        <v>0</v>
      </c>
      <c r="E139" s="2" t="str">
        <f>"PR0500006D"</f>
        <v>PR0500006D</v>
      </c>
      <c r="F139" s="5">
        <v>43948</v>
      </c>
      <c r="G139" s="5">
        <v>54789</v>
      </c>
      <c r="H139" s="4" t="str">
        <f>""</f>
        <v/>
      </c>
      <c r="I139" s="4" t="str">
        <f>""</f>
        <v/>
      </c>
    </row>
    <row r="140" spans="1:9" x14ac:dyDescent="0.3">
      <c r="A140" s="1" t="str">
        <f>"06"</f>
        <v>06</v>
      </c>
      <c r="B140" s="4" t="str">
        <f>"CGCA AUTO CHOC"</f>
        <v>CGCA AUTO CHOC</v>
      </c>
      <c r="C140" s="4">
        <v>37020633</v>
      </c>
      <c r="D140" s="3" t="s">
        <v>0</v>
      </c>
      <c r="E140" s="2" t="str">
        <f>"0006402287"</f>
        <v>0006402287</v>
      </c>
      <c r="F140" s="5">
        <v>38861</v>
      </c>
      <c r="G140" s="5">
        <v>54789</v>
      </c>
      <c r="H140" s="4" t="str">
        <f>""</f>
        <v/>
      </c>
      <c r="I140" s="4" t="str">
        <f>""</f>
        <v/>
      </c>
    </row>
    <row r="141" spans="1:9" x14ac:dyDescent="0.3">
      <c r="A141" s="1" t="str">
        <f>"06"</f>
        <v>06</v>
      </c>
      <c r="B141" s="4" t="str">
        <f>"CGCA AUTO CHOC"</f>
        <v>CGCA AUTO CHOC</v>
      </c>
      <c r="C141" s="4">
        <v>328469241</v>
      </c>
      <c r="D141" s="3" t="s">
        <v>0</v>
      </c>
      <c r="E141" s="2" t="str">
        <f>"PR0600001D"</f>
        <v>PR0600001D</v>
      </c>
      <c r="F141" s="5">
        <v>38861</v>
      </c>
      <c r="G141" s="5">
        <v>54789</v>
      </c>
      <c r="H141" s="4" t="str">
        <f>""</f>
        <v/>
      </c>
      <c r="I141" s="4" t="str">
        <f>""</f>
        <v/>
      </c>
    </row>
    <row r="142" spans="1:9" x14ac:dyDescent="0.3">
      <c r="A142" s="1" t="str">
        <f>"06"</f>
        <v>06</v>
      </c>
      <c r="B142" s="4" t="str">
        <f>"SOCIETE DEMAX"</f>
        <v>SOCIETE DEMAX</v>
      </c>
      <c r="C142" s="4">
        <v>328469242</v>
      </c>
      <c r="D142" s="3" t="s">
        <v>0</v>
      </c>
      <c r="E142" s="2" t="str">
        <f>"PR0600002D"</f>
        <v>PR0600002D</v>
      </c>
      <c r="F142" s="5">
        <v>38861</v>
      </c>
      <c r="G142" s="5">
        <v>54789</v>
      </c>
      <c r="H142" s="4" t="str">
        <f>""</f>
        <v/>
      </c>
      <c r="I142" s="4" t="str">
        <f>""</f>
        <v/>
      </c>
    </row>
    <row r="143" spans="1:9" x14ac:dyDescent="0.3">
      <c r="A143" s="1" t="str">
        <f>"06"</f>
        <v>06</v>
      </c>
      <c r="B143" s="4" t="str">
        <f>"PURFER"</f>
        <v>PURFER</v>
      </c>
      <c r="C143" s="4">
        <v>332628171</v>
      </c>
      <c r="D143" s="3" t="s">
        <v>0</v>
      </c>
      <c r="E143" s="2" t="str">
        <f>"PR0600004B"</f>
        <v>PR0600004B</v>
      </c>
      <c r="F143" s="5">
        <v>38861</v>
      </c>
      <c r="G143" s="5">
        <v>54789</v>
      </c>
      <c r="H143" s="4" t="str">
        <f>""</f>
        <v/>
      </c>
      <c r="I143" s="4" t="str">
        <f>""</f>
        <v/>
      </c>
    </row>
    <row r="144" spans="1:9" x14ac:dyDescent="0.3">
      <c r="A144" s="1" t="str">
        <f>"06"</f>
        <v>06</v>
      </c>
      <c r="B144" s="4" t="str">
        <f>"PURFER"</f>
        <v>PURFER</v>
      </c>
      <c r="C144" s="4">
        <v>332628171</v>
      </c>
      <c r="D144" s="3" t="s">
        <v>0</v>
      </c>
      <c r="E144" s="2" t="str">
        <f>"PR0600013D"</f>
        <v>PR0600013D</v>
      </c>
      <c r="F144" s="5">
        <v>41940</v>
      </c>
      <c r="G144" s="5">
        <v>54789</v>
      </c>
      <c r="H144" s="4" t="str">
        <f>""</f>
        <v/>
      </c>
      <c r="I144" s="4" t="str">
        <f>""</f>
        <v/>
      </c>
    </row>
    <row r="145" spans="1:9" x14ac:dyDescent="0.3">
      <c r="A145" s="1" t="str">
        <f>"06"</f>
        <v>06</v>
      </c>
      <c r="B145" s="4" t="str">
        <f>"PURFER"</f>
        <v>PURFER</v>
      </c>
      <c r="C145" s="4">
        <v>332628171</v>
      </c>
      <c r="D145" s="3" t="s">
        <v>0</v>
      </c>
      <c r="E145" s="2" t="str">
        <f>"PR0600014D"</f>
        <v>PR0600014D</v>
      </c>
      <c r="F145" s="5">
        <v>41237</v>
      </c>
      <c r="G145" s="5">
        <v>54789</v>
      </c>
      <c r="H145" s="4" t="str">
        <f>""</f>
        <v/>
      </c>
      <c r="I145" s="4" t="str">
        <f>""</f>
        <v/>
      </c>
    </row>
    <row r="146" spans="1:9" x14ac:dyDescent="0.3">
      <c r="A146" s="1" t="str">
        <f>"06"</f>
        <v>06</v>
      </c>
      <c r="B146" s="4" t="str">
        <f>"SARL BENOIT RINO"</f>
        <v>SARL BENOIT RINO</v>
      </c>
      <c r="C146" s="4">
        <v>344329222</v>
      </c>
      <c r="D146" s="3" t="s">
        <v>0</v>
      </c>
      <c r="E146" s="2" t="str">
        <f>"PR0600006D"</f>
        <v>PR0600006D</v>
      </c>
      <c r="F146" s="5">
        <v>39148</v>
      </c>
      <c r="G146" s="5">
        <v>54789</v>
      </c>
      <c r="H146" s="4" t="str">
        <f>""</f>
        <v/>
      </c>
      <c r="I146" s="4" t="str">
        <f>""</f>
        <v/>
      </c>
    </row>
    <row r="147" spans="1:9" x14ac:dyDescent="0.3">
      <c r="A147" s="1" t="str">
        <f>"06"</f>
        <v>06</v>
      </c>
      <c r="B147" s="4" t="str">
        <f>"SARL BENOIT RINO"</f>
        <v>SARL BENOIT RINO</v>
      </c>
      <c r="C147" s="4">
        <v>344329222</v>
      </c>
      <c r="D147" s="3" t="s">
        <v>0</v>
      </c>
      <c r="E147" s="2" t="str">
        <f>"0006404774"</f>
        <v>0006404774</v>
      </c>
      <c r="F147" s="5">
        <v>39148</v>
      </c>
      <c r="G147" s="5">
        <v>54789</v>
      </c>
      <c r="H147" s="4" t="str">
        <f>""</f>
        <v/>
      </c>
      <c r="I147" s="4" t="str">
        <f>""</f>
        <v/>
      </c>
    </row>
    <row r="148" spans="1:9" x14ac:dyDescent="0.3">
      <c r="A148" s="1" t="str">
        <f>"06"</f>
        <v>06</v>
      </c>
      <c r="B148" s="4" t="str">
        <f>"SARL CASSAUTO 06"</f>
        <v>SARL CASSAUTO 06</v>
      </c>
      <c r="C148" s="4">
        <v>390067072</v>
      </c>
      <c r="D148" s="3" t="s">
        <v>0</v>
      </c>
      <c r="E148" s="2" t="str">
        <f>"PR0600012D"</f>
        <v>PR0600012D</v>
      </c>
      <c r="F148" s="5">
        <v>40002</v>
      </c>
      <c r="G148" s="5">
        <v>54789</v>
      </c>
      <c r="H148" s="4" t="str">
        <f>""</f>
        <v/>
      </c>
      <c r="I148" s="4" t="str">
        <f>""</f>
        <v/>
      </c>
    </row>
    <row r="149" spans="1:9" x14ac:dyDescent="0.3">
      <c r="A149" s="1" t="str">
        <f>"06"</f>
        <v>06</v>
      </c>
      <c r="B149" s="4" t="str">
        <f>"SARL CASSAUTO 06"</f>
        <v>SARL CASSAUTO 06</v>
      </c>
      <c r="C149" s="4">
        <v>390067072</v>
      </c>
      <c r="D149" s="3" t="s">
        <v>0</v>
      </c>
      <c r="E149" s="2" t="str">
        <f>"0006407851"</f>
        <v>0006407851</v>
      </c>
      <c r="F149" s="5">
        <v>40002</v>
      </c>
      <c r="G149" s="5">
        <v>54789</v>
      </c>
      <c r="H149" s="4" t="str">
        <f>""</f>
        <v/>
      </c>
      <c r="I149" s="4" t="str">
        <f>""</f>
        <v/>
      </c>
    </row>
    <row r="150" spans="1:9" x14ac:dyDescent="0.3">
      <c r="A150" s="1" t="str">
        <f>"06"</f>
        <v>06</v>
      </c>
      <c r="B150" s="4" t="str">
        <f>"SARL AD AUTOMOBILE"</f>
        <v>SARL AD AUTOMOBILE</v>
      </c>
      <c r="C150" s="4">
        <v>403530157</v>
      </c>
      <c r="D150" s="3" t="s">
        <v>0</v>
      </c>
      <c r="E150" s="2" t="str">
        <f>"PR0600008D"</f>
        <v>PR0600008D</v>
      </c>
      <c r="F150" s="5">
        <v>39148</v>
      </c>
      <c r="G150" s="5">
        <v>54789</v>
      </c>
      <c r="H150" s="4" t="str">
        <f>""</f>
        <v/>
      </c>
      <c r="I150" s="4" t="str">
        <f>""</f>
        <v/>
      </c>
    </row>
    <row r="151" spans="1:9" x14ac:dyDescent="0.3">
      <c r="A151" s="1" t="str">
        <f>"06"</f>
        <v>06</v>
      </c>
      <c r="B151" s="4" t="str">
        <f>"SARL AD AUTOMOBILE"</f>
        <v>SARL AD AUTOMOBILE</v>
      </c>
      <c r="C151" s="4">
        <v>403530157</v>
      </c>
      <c r="D151" s="3" t="s">
        <v>0</v>
      </c>
      <c r="E151" s="2" t="str">
        <f>"0006406976"</f>
        <v>0006406976</v>
      </c>
      <c r="F151" s="5">
        <v>39148</v>
      </c>
      <c r="G151" s="5">
        <v>54789</v>
      </c>
      <c r="H151" s="4" t="str">
        <f>""</f>
        <v/>
      </c>
      <c r="I151" s="4" t="str">
        <f>""</f>
        <v/>
      </c>
    </row>
    <row r="152" spans="1:9" x14ac:dyDescent="0.3">
      <c r="A152" s="1" t="str">
        <f>"06"</f>
        <v>06</v>
      </c>
      <c r="B152" s="4" t="str">
        <f>"SOCIETE DALMASSO"</f>
        <v>SOCIETE DALMASSO</v>
      </c>
      <c r="C152" s="4">
        <v>412371619</v>
      </c>
      <c r="D152" s="3" t="s">
        <v>0</v>
      </c>
      <c r="E152" s="2" t="str">
        <f>"PR0600009D"</f>
        <v>PR0600009D</v>
      </c>
      <c r="F152" s="5">
        <v>39148</v>
      </c>
      <c r="G152" s="5">
        <v>54789</v>
      </c>
      <c r="H152" s="4" t="str">
        <f>""</f>
        <v/>
      </c>
      <c r="I152" s="4" t="str">
        <f>""</f>
        <v/>
      </c>
    </row>
    <row r="153" spans="1:9" x14ac:dyDescent="0.3">
      <c r="A153" s="1" t="str">
        <f>"06"</f>
        <v>06</v>
      </c>
      <c r="B153" s="4" t="str">
        <f>"SOCIETE DALMASSO"</f>
        <v>SOCIETE DALMASSO</v>
      </c>
      <c r="C153" s="4">
        <v>412371619</v>
      </c>
      <c r="D153" s="3" t="s">
        <v>0</v>
      </c>
      <c r="E153" s="2" t="str">
        <f>"0006405078"</f>
        <v>0006405078</v>
      </c>
      <c r="F153" s="5">
        <v>42594</v>
      </c>
      <c r="G153" s="5">
        <v>54789</v>
      </c>
      <c r="H153" s="4" t="str">
        <f>""</f>
        <v/>
      </c>
      <c r="I153" s="4" t="str">
        <f>""</f>
        <v/>
      </c>
    </row>
    <row r="154" spans="1:9" x14ac:dyDescent="0.3">
      <c r="A154" s="1" t="str">
        <f>"06"</f>
        <v>06</v>
      </c>
      <c r="B154" s="4" t="str">
        <f>"GARAGE DES OLIVIERS"</f>
        <v>GARAGE DES OLIVIERS</v>
      </c>
      <c r="C154" s="4">
        <v>417240561</v>
      </c>
      <c r="D154" s="3" t="s">
        <v>0</v>
      </c>
      <c r="E154" s="2" t="str">
        <f>"PR0600007D"</f>
        <v>PR0600007D</v>
      </c>
      <c r="F154" s="5">
        <v>39148</v>
      </c>
      <c r="G154" s="5">
        <v>54789</v>
      </c>
      <c r="H154" s="4" t="str">
        <f>""</f>
        <v/>
      </c>
      <c r="I154" s="4" t="str">
        <f>""</f>
        <v/>
      </c>
    </row>
    <row r="155" spans="1:9" x14ac:dyDescent="0.3">
      <c r="A155" s="1" t="str">
        <f>"06"</f>
        <v>06</v>
      </c>
      <c r="B155" s="4" t="str">
        <f>"Ste Valerio et Cie Antibes"</f>
        <v>Ste Valerio et Cie Antibes</v>
      </c>
      <c r="C155" s="4">
        <v>429910391</v>
      </c>
      <c r="D155" s="3" t="s">
        <v>0</v>
      </c>
      <c r="E155" s="2" t="str">
        <f>"PR0600011D"</f>
        <v>PR0600011D</v>
      </c>
      <c r="F155" s="5">
        <v>42985</v>
      </c>
      <c r="G155" s="5">
        <v>54789</v>
      </c>
      <c r="H155" s="4" t="str">
        <f>""</f>
        <v/>
      </c>
      <c r="I155" s="4" t="str">
        <f>""</f>
        <v/>
      </c>
    </row>
    <row r="156" spans="1:9" x14ac:dyDescent="0.3">
      <c r="A156" s="1" t="str">
        <f>"06"</f>
        <v>06</v>
      </c>
      <c r="B156" s="4" t="str">
        <f>"Ste Valerio et Cie Nice"</f>
        <v>Ste Valerio et Cie Nice</v>
      </c>
      <c r="C156" s="4">
        <v>429910391</v>
      </c>
      <c r="D156" s="3" t="s">
        <v>0</v>
      </c>
      <c r="E156" s="2" t="str">
        <f>"PR0600010D"</f>
        <v>PR0600010D</v>
      </c>
      <c r="F156" s="5">
        <v>42985</v>
      </c>
      <c r="G156" s="5">
        <v>54789</v>
      </c>
      <c r="H156" s="4" t="str">
        <f>""</f>
        <v/>
      </c>
      <c r="I156" s="4" t="str">
        <f>""</f>
        <v/>
      </c>
    </row>
    <row r="157" spans="1:9" x14ac:dyDescent="0.3">
      <c r="A157" s="1" t="str">
        <f>"06"</f>
        <v>06</v>
      </c>
      <c r="B157" s="4" t="str">
        <f>"SOCIETE DEMOLIAUTO"</f>
        <v>SOCIETE DEMOLIAUTO</v>
      </c>
      <c r="C157" s="4">
        <v>529316077</v>
      </c>
      <c r="D157" s="3" t="s">
        <v>0</v>
      </c>
      <c r="E157" s="2" t="str">
        <f>"PR0600003D"</f>
        <v>PR0600003D</v>
      </c>
      <c r="F157" s="5">
        <v>38861</v>
      </c>
      <c r="G157" s="5">
        <v>54789</v>
      </c>
      <c r="H157" s="4" t="str">
        <f>""</f>
        <v/>
      </c>
      <c r="I157" s="4" t="str">
        <f>""</f>
        <v/>
      </c>
    </row>
    <row r="158" spans="1:9" x14ac:dyDescent="0.3">
      <c r="A158" s="1" t="str">
        <f>"06"</f>
        <v>06</v>
      </c>
      <c r="B158" s="4" t="str">
        <f>"SOCIETE DEMOLIAUTO"</f>
        <v>SOCIETE DEMOLIAUTO</v>
      </c>
      <c r="C158" s="4">
        <v>529316077</v>
      </c>
      <c r="D158" s="3" t="s">
        <v>0</v>
      </c>
      <c r="E158" s="2" t="str">
        <f>"0006400300"</f>
        <v>0006400300</v>
      </c>
      <c r="F158" s="5">
        <v>38861</v>
      </c>
      <c r="G158" s="5">
        <v>54789</v>
      </c>
      <c r="H158" s="4" t="str">
        <f>""</f>
        <v/>
      </c>
      <c r="I158" s="4" t="str">
        <f>""</f>
        <v/>
      </c>
    </row>
    <row r="159" spans="1:9" x14ac:dyDescent="0.3">
      <c r="A159" s="1" t="str">
        <f>"07"</f>
        <v>07</v>
      </c>
      <c r="B159" s="4" t="str">
        <f>"SARL SAVRA"</f>
        <v>SARL SAVRA</v>
      </c>
      <c r="C159" s="4">
        <v>321606071</v>
      </c>
      <c r="D159" s="3" t="s">
        <v>0</v>
      </c>
      <c r="E159" s="2" t="str">
        <f>"PR0700005D"</f>
        <v>PR0700005D</v>
      </c>
      <c r="F159" s="5">
        <v>39224</v>
      </c>
      <c r="G159" s="5">
        <v>54789</v>
      </c>
      <c r="H159" s="4" t="str">
        <f>""</f>
        <v/>
      </c>
      <c r="I159" s="4" t="str">
        <f>""</f>
        <v/>
      </c>
    </row>
    <row r="160" spans="1:9" x14ac:dyDescent="0.3">
      <c r="A160" s="1" t="str">
        <f>"07"</f>
        <v>07</v>
      </c>
      <c r="B160" s="4" t="str">
        <f>"SARL SAVRA"</f>
        <v>SARL SAVRA</v>
      </c>
      <c r="C160" s="4">
        <v>321606071</v>
      </c>
      <c r="D160" s="3" t="s">
        <v>0</v>
      </c>
      <c r="E160" s="2" t="str">
        <f>"0006102346"</f>
        <v>0006102346</v>
      </c>
      <c r="F160" s="5">
        <v>39224</v>
      </c>
      <c r="G160" s="5">
        <v>54789</v>
      </c>
      <c r="H160" s="4" t="str">
        <f>""</f>
        <v/>
      </c>
      <c r="I160" s="4" t="str">
        <f>""</f>
        <v/>
      </c>
    </row>
    <row r="161" spans="1:9" x14ac:dyDescent="0.3">
      <c r="A161" s="1" t="str">
        <f>"07"</f>
        <v>07</v>
      </c>
      <c r="B161" s="4" t="str">
        <f>"SARL HAUTE CANCE AUTO FER"</f>
        <v>SARL HAUTE CANCE AUTO FER</v>
      </c>
      <c r="C161" s="4">
        <v>378782528</v>
      </c>
      <c r="D161" s="3" t="s">
        <v>0</v>
      </c>
      <c r="E161" s="2" t="str">
        <f>"PR0700001D"</f>
        <v>PR0700001D</v>
      </c>
      <c r="F161" s="5">
        <v>38881</v>
      </c>
      <c r="G161" s="5">
        <v>54789</v>
      </c>
      <c r="H161" s="4" t="str">
        <f>""</f>
        <v/>
      </c>
      <c r="I161" s="4" t="str">
        <f>""</f>
        <v/>
      </c>
    </row>
    <row r="162" spans="1:9" x14ac:dyDescent="0.3">
      <c r="A162" s="1" t="str">
        <f>"07"</f>
        <v>07</v>
      </c>
      <c r="B162" s="4" t="str">
        <f>"SARL HAUTE CANCE AUTO FER"</f>
        <v>SARL HAUTE CANCE AUTO FER</v>
      </c>
      <c r="C162" s="4">
        <v>378782528</v>
      </c>
      <c r="D162" s="3" t="s">
        <v>0</v>
      </c>
      <c r="E162" s="2" t="str">
        <f>"0006102457"</f>
        <v>0006102457</v>
      </c>
      <c r="F162" s="5">
        <v>38881</v>
      </c>
      <c r="G162" s="5">
        <v>54789</v>
      </c>
      <c r="H162" s="4" t="str">
        <f>""</f>
        <v/>
      </c>
      <c r="I162" s="4" t="str">
        <f>""</f>
        <v/>
      </c>
    </row>
    <row r="163" spans="1:9" x14ac:dyDescent="0.3">
      <c r="A163" s="1" t="str">
        <f>"07"</f>
        <v>07</v>
      </c>
      <c r="B163" s="4" t="str">
        <f>"SARL MODUL'AUTO"</f>
        <v>SARL MODUL'AUTO</v>
      </c>
      <c r="C163" s="4">
        <v>393577549</v>
      </c>
      <c r="D163" s="3" t="s">
        <v>0</v>
      </c>
      <c r="E163" s="2" t="str">
        <f>"PR0700002D"</f>
        <v>PR0700002D</v>
      </c>
      <c r="F163" s="5">
        <v>38911</v>
      </c>
      <c r="G163" s="5">
        <v>54789</v>
      </c>
      <c r="H163" s="4" t="str">
        <f>""</f>
        <v/>
      </c>
      <c r="I163" s="4" t="str">
        <f>""</f>
        <v/>
      </c>
    </row>
    <row r="164" spans="1:9" x14ac:dyDescent="0.3">
      <c r="A164" s="1" t="str">
        <f>"07"</f>
        <v>07</v>
      </c>
      <c r="B164" s="4" t="str">
        <f>"SARL MODUL'AUTO"</f>
        <v>SARL MODUL'AUTO</v>
      </c>
      <c r="C164" s="4">
        <v>393577549</v>
      </c>
      <c r="D164" s="3" t="s">
        <v>0</v>
      </c>
      <c r="E164" s="2" t="str">
        <f>"0010200001"</f>
        <v>0010200001</v>
      </c>
      <c r="F164" s="5">
        <v>38911</v>
      </c>
      <c r="G164" s="5">
        <v>54789</v>
      </c>
      <c r="H164" s="4" t="str">
        <f>""</f>
        <v/>
      </c>
      <c r="I164" s="4" t="str">
        <f>""</f>
        <v/>
      </c>
    </row>
    <row r="165" spans="1:9" x14ac:dyDescent="0.3">
      <c r="A165" s="1" t="str">
        <f>"07"</f>
        <v>07</v>
      </c>
      <c r="B165" s="4" t="str">
        <f>"SARL ETABLISSEMENTS BERNARD"</f>
        <v>SARL ETABLISSEMENTS BERNARD</v>
      </c>
      <c r="C165" s="4">
        <v>400872180</v>
      </c>
      <c r="D165" s="3" t="s">
        <v>0</v>
      </c>
      <c r="E165" s="2" t="str">
        <f>"PR0700008D"</f>
        <v>PR0700008D</v>
      </c>
      <c r="F165" s="5">
        <v>39268</v>
      </c>
      <c r="G165" s="5">
        <v>54789</v>
      </c>
      <c r="H165" s="4" t="str">
        <f>""</f>
        <v/>
      </c>
      <c r="I165" s="4" t="str">
        <f>""</f>
        <v/>
      </c>
    </row>
    <row r="166" spans="1:9" x14ac:dyDescent="0.3">
      <c r="A166" s="1" t="str">
        <f>"07"</f>
        <v>07</v>
      </c>
      <c r="B166" s="4" t="str">
        <f>"PLANCHER ENVIRONNEMENT"</f>
        <v>PLANCHER ENVIRONNEMENT</v>
      </c>
      <c r="C166" s="4">
        <v>424988814</v>
      </c>
      <c r="D166" s="3" t="s">
        <v>0</v>
      </c>
      <c r="E166" s="2" t="str">
        <f>"PR0700012D"</f>
        <v>PR0700012D</v>
      </c>
      <c r="F166" s="5">
        <v>42341</v>
      </c>
      <c r="G166" s="5">
        <v>54789</v>
      </c>
      <c r="H166" s="4" t="str">
        <f>""</f>
        <v/>
      </c>
      <c r="I166" s="4" t="str">
        <f>""</f>
        <v/>
      </c>
    </row>
    <row r="167" spans="1:9" x14ac:dyDescent="0.3">
      <c r="A167" s="1" t="str">
        <f>"07"</f>
        <v>07</v>
      </c>
      <c r="B167" s="4" t="str">
        <f>"PLANCHER ENVIRONNEMENT"</f>
        <v>PLANCHER ENVIRONNEMENT</v>
      </c>
      <c r="C167" s="4">
        <v>424988814</v>
      </c>
      <c r="D167" s="3" t="s">
        <v>0</v>
      </c>
      <c r="E167" s="2" t="str">
        <f>"0010200017"</f>
        <v>0010200017</v>
      </c>
      <c r="F167" s="5">
        <v>42341</v>
      </c>
      <c r="G167" s="5">
        <v>54789</v>
      </c>
      <c r="H167" s="4" t="str">
        <f>""</f>
        <v/>
      </c>
      <c r="I167" s="4" t="str">
        <f>""</f>
        <v/>
      </c>
    </row>
    <row r="168" spans="1:9" x14ac:dyDescent="0.3">
      <c r="A168" s="1" t="str">
        <f>"07"</f>
        <v>07</v>
      </c>
      <c r="B168" s="4" t="str">
        <f>"SARL AUTO PIECES DU POUZIN"</f>
        <v>SARL AUTO PIECES DU POUZIN</v>
      </c>
      <c r="C168" s="4">
        <v>498494830</v>
      </c>
      <c r="D168" s="3" t="s">
        <v>0</v>
      </c>
      <c r="E168" s="2" t="str">
        <f>"PR0700009D"</f>
        <v>PR0700009D</v>
      </c>
      <c r="F168" s="5">
        <v>39444</v>
      </c>
      <c r="G168" s="5">
        <v>54789</v>
      </c>
      <c r="H168" s="4" t="str">
        <f>""</f>
        <v/>
      </c>
      <c r="I168" s="4" t="str">
        <f>""</f>
        <v/>
      </c>
    </row>
    <row r="169" spans="1:9" x14ac:dyDescent="0.3">
      <c r="A169" s="1" t="str">
        <f>"07"</f>
        <v>07</v>
      </c>
      <c r="B169" s="4" t="str">
        <f>"SARL AUTO PIECES DU POUZIN"</f>
        <v>SARL AUTO PIECES DU POUZIN</v>
      </c>
      <c r="C169" s="4">
        <v>498494830</v>
      </c>
      <c r="D169" s="3" t="s">
        <v>0</v>
      </c>
      <c r="E169" s="2" t="str">
        <f>"0006102388"</f>
        <v>0006102388</v>
      </c>
      <c r="F169" s="5">
        <v>39444</v>
      </c>
      <c r="G169" s="5">
        <v>54789</v>
      </c>
      <c r="H169" s="4" t="str">
        <f>""</f>
        <v/>
      </c>
      <c r="I169" s="4" t="str">
        <f>""</f>
        <v/>
      </c>
    </row>
    <row r="170" spans="1:9" x14ac:dyDescent="0.3">
      <c r="A170" s="1" t="str">
        <f>"07"</f>
        <v>07</v>
      </c>
      <c r="B170" s="4" t="str">
        <f>"ANNONAY SERVICE AUTOS"</f>
        <v>ANNONAY SERVICE AUTOS</v>
      </c>
      <c r="C170" s="4">
        <v>522883842</v>
      </c>
      <c r="D170" s="3" t="s">
        <v>0</v>
      </c>
      <c r="E170" s="2" t="str">
        <f>"PR0700010D"</f>
        <v>PR0700010D</v>
      </c>
      <c r="F170" s="5">
        <v>40360</v>
      </c>
      <c r="G170" s="5">
        <v>54789</v>
      </c>
      <c r="H170" s="4" t="str">
        <f>""</f>
        <v/>
      </c>
      <c r="I170" s="4" t="str">
        <f>""</f>
        <v/>
      </c>
    </row>
    <row r="171" spans="1:9" x14ac:dyDescent="0.3">
      <c r="A171" s="1" t="str">
        <f>"07"</f>
        <v>07</v>
      </c>
      <c r="B171" s="4" t="str">
        <f>"RECYCLAGE ENVIRONNEMENT DECHETS"</f>
        <v>RECYCLAGE ENVIRONNEMENT DECHETS</v>
      </c>
      <c r="C171" s="4">
        <v>815277215</v>
      </c>
      <c r="D171" s="3" t="s">
        <v>0</v>
      </c>
      <c r="E171" s="2" t="str">
        <f>"PR0700013D"</f>
        <v>PR0700013D</v>
      </c>
      <c r="F171" s="5">
        <v>42542</v>
      </c>
      <c r="G171" s="5">
        <v>54789</v>
      </c>
      <c r="H171" s="4" t="str">
        <f>""</f>
        <v/>
      </c>
      <c r="I171" s="4" t="str">
        <f>""</f>
        <v/>
      </c>
    </row>
    <row r="172" spans="1:9" x14ac:dyDescent="0.3">
      <c r="A172" s="1" t="str">
        <f>"07"</f>
        <v>07</v>
      </c>
      <c r="B172" s="4" t="str">
        <f>"RECYCLAGE ENVIRONNEMENT DECHETS"</f>
        <v>RECYCLAGE ENVIRONNEMENT DECHETS</v>
      </c>
      <c r="C172" s="4">
        <v>815277215</v>
      </c>
      <c r="D172" s="3" t="s">
        <v>0</v>
      </c>
      <c r="E172" s="2" t="str">
        <f>"0006102322"</f>
        <v>0006102322</v>
      </c>
      <c r="F172" s="5">
        <v>42542</v>
      </c>
      <c r="G172" s="5">
        <v>54789</v>
      </c>
      <c r="H172" s="4" t="str">
        <f>""</f>
        <v/>
      </c>
      <c r="I172" s="4" t="str">
        <f>""</f>
        <v/>
      </c>
    </row>
    <row r="173" spans="1:9" x14ac:dyDescent="0.3">
      <c r="A173" s="1" t="str">
        <f>"07"</f>
        <v>07</v>
      </c>
      <c r="B173" s="4" t="str">
        <f>"SOCIETE ECO PIECES AUTOS"</f>
        <v>SOCIETE ECO PIECES AUTOS</v>
      </c>
      <c r="C173" s="4">
        <v>852073709</v>
      </c>
      <c r="D173" s="3" t="s">
        <v>0</v>
      </c>
      <c r="E173" s="2" t="str">
        <f>"PR0700003D"</f>
        <v>PR0700003D</v>
      </c>
      <c r="F173" s="5">
        <v>43901</v>
      </c>
      <c r="G173" s="5">
        <v>54789</v>
      </c>
      <c r="H173" s="4" t="str">
        <f>""</f>
        <v/>
      </c>
      <c r="I173" s="4" t="str">
        <f>""</f>
        <v/>
      </c>
    </row>
    <row r="174" spans="1:9" x14ac:dyDescent="0.3">
      <c r="A174" s="1" t="str">
        <f>"07"</f>
        <v>07</v>
      </c>
      <c r="B174" s="4" t="str">
        <f>"SOCIETE FAURIE AUTOMOBILE"</f>
        <v>SOCIETE FAURIE AUTOMOBILE</v>
      </c>
      <c r="C174" s="4">
        <v>882417140</v>
      </c>
      <c r="D174" s="3" t="s">
        <v>0</v>
      </c>
      <c r="E174" s="2" t="str">
        <f>"PR0700011D"</f>
        <v>PR0700011D</v>
      </c>
      <c r="F174" s="5">
        <v>44299</v>
      </c>
      <c r="G174" s="5">
        <v>54789</v>
      </c>
      <c r="H174" s="4" t="str">
        <f>""</f>
        <v/>
      </c>
      <c r="I174" s="4" t="str">
        <f>""</f>
        <v/>
      </c>
    </row>
    <row r="175" spans="1:9" x14ac:dyDescent="0.3">
      <c r="A175" s="1" t="str">
        <f>"07"</f>
        <v>07</v>
      </c>
      <c r="B175" s="4" t="str">
        <f>"SOCIETE FAURIE AUTOMOBILE"</f>
        <v>SOCIETE FAURIE AUTOMOBILE</v>
      </c>
      <c r="C175" s="4">
        <v>882417140</v>
      </c>
      <c r="D175" s="3" t="s">
        <v>0</v>
      </c>
      <c r="E175" s="2" t="str">
        <f>"0006102303"</f>
        <v>0006102303</v>
      </c>
      <c r="F175" s="5">
        <v>44299</v>
      </c>
      <c r="G175" s="5">
        <v>54789</v>
      </c>
      <c r="H175" s="4" t="str">
        <f>""</f>
        <v/>
      </c>
      <c r="I175" s="4" t="str">
        <f>""</f>
        <v/>
      </c>
    </row>
    <row r="176" spans="1:9" x14ac:dyDescent="0.3">
      <c r="A176" s="1" t="str">
        <f>"08"</f>
        <v>08</v>
      </c>
      <c r="B176" s="4" t="str">
        <f>"GARAGE BAUDOIN"</f>
        <v>GARAGE BAUDOIN</v>
      </c>
      <c r="C176" s="4">
        <v>382312338</v>
      </c>
      <c r="D176" s="3" t="s">
        <v>0</v>
      </c>
      <c r="E176" s="2" t="str">
        <f>"PR0800002D"</f>
        <v>PR0800002D</v>
      </c>
      <c r="F176" s="5">
        <v>39048</v>
      </c>
      <c r="G176" s="5">
        <v>54789</v>
      </c>
      <c r="H176" s="4" t="str">
        <f>""</f>
        <v/>
      </c>
      <c r="I176" s="4" t="str">
        <f>""</f>
        <v/>
      </c>
    </row>
    <row r="177" spans="1:9" x14ac:dyDescent="0.3">
      <c r="A177" s="1" t="str">
        <f>"08"</f>
        <v>08</v>
      </c>
      <c r="B177" s="4" t="str">
        <f>"GARAGE BAUDOIN"</f>
        <v>GARAGE BAUDOIN</v>
      </c>
      <c r="C177" s="4">
        <v>382312338</v>
      </c>
      <c r="D177" s="3" t="s">
        <v>0</v>
      </c>
      <c r="E177" s="2" t="str">
        <f>"0005701210"</f>
        <v>0005701210</v>
      </c>
      <c r="F177" s="5">
        <v>39048</v>
      </c>
      <c r="G177" s="5">
        <v>54789</v>
      </c>
      <c r="H177" s="4" t="str">
        <f>""</f>
        <v/>
      </c>
      <c r="I177" s="4" t="str">
        <f>""</f>
        <v/>
      </c>
    </row>
    <row r="178" spans="1:9" x14ac:dyDescent="0.3">
      <c r="A178" s="1" t="str">
        <f>"08"</f>
        <v>08</v>
      </c>
      <c r="B178" s="4" t="str">
        <f>""</f>
        <v/>
      </c>
      <c r="C178" s="4">
        <v>382661007</v>
      </c>
      <c r="D178" s="3" t="s">
        <v>0</v>
      </c>
      <c r="E178" s="2" t="str">
        <f>"PR0800007D"</f>
        <v>PR0800007D</v>
      </c>
      <c r="F178" s="5">
        <v>40158</v>
      </c>
      <c r="G178" s="5">
        <v>54789</v>
      </c>
      <c r="H178" s="4" t="str">
        <f>"MATHIEU"</f>
        <v>MATHIEU</v>
      </c>
      <c r="I178" s="4" t="str">
        <f>"Bruno Michel"</f>
        <v>Bruno Michel</v>
      </c>
    </row>
    <row r="179" spans="1:9" x14ac:dyDescent="0.3">
      <c r="A179" s="1" t="str">
        <f>"08"</f>
        <v>08</v>
      </c>
      <c r="B179" s="4" t="str">
        <f>""</f>
        <v/>
      </c>
      <c r="C179" s="4">
        <v>382661007</v>
      </c>
      <c r="D179" s="3" t="s">
        <v>0</v>
      </c>
      <c r="E179" s="2" t="str">
        <f>"0005702821"</f>
        <v>0005702821</v>
      </c>
      <c r="F179" s="5">
        <v>40158</v>
      </c>
      <c r="G179" s="5">
        <v>54789</v>
      </c>
      <c r="H179" s="4" t="str">
        <f>"MATHIEU"</f>
        <v>MATHIEU</v>
      </c>
      <c r="I179" s="4" t="str">
        <f>"Bruno Michel"</f>
        <v>Bruno Michel</v>
      </c>
    </row>
    <row r="180" spans="1:9" x14ac:dyDescent="0.3">
      <c r="A180" s="1" t="str">
        <f>"08"</f>
        <v>08</v>
      </c>
      <c r="B180" s="4" t="str">
        <f>"GALLOO FRANCE"</f>
        <v>GALLOO FRANCE</v>
      </c>
      <c r="C180" s="4">
        <v>383066602</v>
      </c>
      <c r="D180" s="3" t="s">
        <v>0</v>
      </c>
      <c r="E180" s="2" t="str">
        <f>"PR0800010D"</f>
        <v>PR0800010D</v>
      </c>
      <c r="F180" s="5">
        <v>42717</v>
      </c>
      <c r="G180" s="5">
        <v>54789</v>
      </c>
      <c r="H180" s="4" t="str">
        <f>""</f>
        <v/>
      </c>
      <c r="I180" s="4" t="str">
        <f>""</f>
        <v/>
      </c>
    </row>
    <row r="181" spans="1:9" x14ac:dyDescent="0.3">
      <c r="A181" s="1" t="str">
        <f>"08"</f>
        <v>08</v>
      </c>
      <c r="B181" s="4" t="str">
        <f>"GALLOO FRANCE"</f>
        <v>GALLOO FRANCE</v>
      </c>
      <c r="C181" s="4">
        <v>383066602</v>
      </c>
      <c r="D181" s="3" t="s">
        <v>0</v>
      </c>
      <c r="E181" s="2" t="str">
        <f>"0005702779"</f>
        <v>0005702779</v>
      </c>
      <c r="F181" s="5">
        <v>42717</v>
      </c>
      <c r="G181" s="5">
        <v>54789</v>
      </c>
      <c r="H181" s="4" t="str">
        <f>""</f>
        <v/>
      </c>
      <c r="I181" s="4" t="str">
        <f>""</f>
        <v/>
      </c>
    </row>
    <row r="182" spans="1:9" x14ac:dyDescent="0.3">
      <c r="A182" s="1" t="str">
        <f>"08"</f>
        <v>08</v>
      </c>
      <c r="B182" s="4" t="str">
        <f>"GALLOO FRANCE"</f>
        <v>GALLOO FRANCE</v>
      </c>
      <c r="C182" s="4">
        <v>383066602</v>
      </c>
      <c r="D182" s="3" t="s">
        <v>0</v>
      </c>
      <c r="E182" s="2" t="str">
        <f>"PR0800014D"</f>
        <v>PR0800014D</v>
      </c>
      <c r="F182" s="5">
        <v>45329</v>
      </c>
      <c r="G182" s="5">
        <v>54789</v>
      </c>
      <c r="H182" s="4" t="str">
        <f>""</f>
        <v/>
      </c>
      <c r="I182" s="4" t="str">
        <f>""</f>
        <v/>
      </c>
    </row>
    <row r="183" spans="1:9" x14ac:dyDescent="0.3">
      <c r="A183" s="1" t="str">
        <f>"08"</f>
        <v>08</v>
      </c>
      <c r="B183" s="4" t="str">
        <f>"GALLOO FRANCE"</f>
        <v>GALLOO FRANCE</v>
      </c>
      <c r="C183" s="4">
        <v>383066602</v>
      </c>
      <c r="D183" s="3" t="s">
        <v>0</v>
      </c>
      <c r="E183" s="2" t="str">
        <f>"0100008733"</f>
        <v>0100008733</v>
      </c>
      <c r="F183" s="5">
        <v>45329</v>
      </c>
      <c r="G183" s="5">
        <v>54789</v>
      </c>
      <c r="H183" s="4" t="str">
        <f>""</f>
        <v/>
      </c>
      <c r="I183" s="4" t="str">
        <f>""</f>
        <v/>
      </c>
    </row>
    <row r="184" spans="1:9" x14ac:dyDescent="0.3">
      <c r="A184" s="1" t="str">
        <f>"08"</f>
        <v>08</v>
      </c>
      <c r="B184" s="4" t="str">
        <f>"SAS FERRARI"</f>
        <v>SAS FERRARI</v>
      </c>
      <c r="C184" s="4">
        <v>444545768</v>
      </c>
      <c r="D184" s="3" t="s">
        <v>0</v>
      </c>
      <c r="E184" s="2" t="str">
        <f>"PR0800011D"</f>
        <v>PR0800011D</v>
      </c>
      <c r="F184" s="5">
        <v>43640</v>
      </c>
      <c r="G184" s="5">
        <v>54789</v>
      </c>
      <c r="H184" s="4" t="str">
        <f>""</f>
        <v/>
      </c>
      <c r="I184" s="4" t="str">
        <f>""</f>
        <v/>
      </c>
    </row>
    <row r="185" spans="1:9" x14ac:dyDescent="0.3">
      <c r="A185" s="1" t="str">
        <f>"08"</f>
        <v>08</v>
      </c>
      <c r="B185" s="4" t="str">
        <f>"SAS FERRARI"</f>
        <v>SAS FERRARI</v>
      </c>
      <c r="C185" s="4">
        <v>444545768</v>
      </c>
      <c r="D185" s="3" t="s">
        <v>0</v>
      </c>
      <c r="E185" s="2" t="str">
        <f>"0005701175"</f>
        <v>0005701175</v>
      </c>
      <c r="F185" s="5">
        <v>43640</v>
      </c>
      <c r="G185" s="5">
        <v>54789</v>
      </c>
      <c r="H185" s="4" t="str">
        <f>""</f>
        <v/>
      </c>
      <c r="I185" s="4" t="str">
        <f>""</f>
        <v/>
      </c>
    </row>
    <row r="186" spans="1:9" x14ac:dyDescent="0.3">
      <c r="A186" s="1" t="str">
        <f>"08"</f>
        <v>08</v>
      </c>
      <c r="B186" s="4" t="str">
        <f>"SARL FGR agréée en tant que centre de récupération de véhicules sans aucune act"</f>
        <v>SARL FGR agréée en tant que centre de récupération de véhicules sans aucune act</v>
      </c>
      <c r="C186" s="4">
        <v>493596548</v>
      </c>
      <c r="D186" s="3" t="s">
        <v>0</v>
      </c>
      <c r="E186" s="2" t="str">
        <f>"PR0800012D"</f>
        <v>PR0800012D</v>
      </c>
      <c r="F186" s="5">
        <v>45037</v>
      </c>
      <c r="G186" s="5">
        <v>54789</v>
      </c>
      <c r="H186" s="4" t="str">
        <f>""</f>
        <v/>
      </c>
      <c r="I186" s="4" t="str">
        <f>""</f>
        <v/>
      </c>
    </row>
    <row r="187" spans="1:9" x14ac:dyDescent="0.3">
      <c r="A187" s="1" t="str">
        <f>"08"</f>
        <v>08</v>
      </c>
      <c r="B187" s="4" t="str">
        <f>"DEWEZ SARL"</f>
        <v>DEWEZ SARL</v>
      </c>
      <c r="C187" s="4">
        <v>514785922</v>
      </c>
      <c r="D187" s="3" t="s">
        <v>0</v>
      </c>
      <c r="E187" s="2" t="str">
        <f>"0005703737"</f>
        <v>0005703737</v>
      </c>
      <c r="F187" s="5">
        <v>45600</v>
      </c>
      <c r="G187" s="5">
        <v>54789</v>
      </c>
      <c r="H187" s="4" t="str">
        <f>""</f>
        <v/>
      </c>
      <c r="I187" s="4" t="str">
        <f>""</f>
        <v/>
      </c>
    </row>
    <row r="188" spans="1:9" x14ac:dyDescent="0.3">
      <c r="A188" s="1" t="str">
        <f>"08"</f>
        <v>08</v>
      </c>
      <c r="B188" s="4" t="str">
        <f>"ESKA"</f>
        <v>ESKA</v>
      </c>
      <c r="C188" s="4">
        <v>558502811</v>
      </c>
      <c r="D188" s="3" t="s">
        <v>0</v>
      </c>
      <c r="E188" s="2" t="str">
        <f>"PR0800001D"</f>
        <v>PR0800001D</v>
      </c>
      <c r="F188" s="5">
        <v>38891</v>
      </c>
      <c r="G188" s="5">
        <v>54789</v>
      </c>
      <c r="H188" s="4" t="str">
        <f>""</f>
        <v/>
      </c>
      <c r="I188" s="4" t="str">
        <f>""</f>
        <v/>
      </c>
    </row>
    <row r="189" spans="1:9" x14ac:dyDescent="0.3">
      <c r="A189" s="1" t="str">
        <f>"08"</f>
        <v>08</v>
      </c>
      <c r="B189" s="4" t="str">
        <f>"ESKA"</f>
        <v>ESKA</v>
      </c>
      <c r="C189" s="4">
        <v>558502811</v>
      </c>
      <c r="D189" s="3" t="s">
        <v>0</v>
      </c>
      <c r="E189" s="2" t="str">
        <f>"0005701108"</f>
        <v>0005701108</v>
      </c>
      <c r="F189" s="5">
        <v>38891</v>
      </c>
      <c r="G189" s="5">
        <v>54789</v>
      </c>
      <c r="H189" s="4" t="str">
        <f>""</f>
        <v/>
      </c>
      <c r="I189" s="4" t="str">
        <f>""</f>
        <v/>
      </c>
    </row>
    <row r="190" spans="1:9" x14ac:dyDescent="0.3">
      <c r="A190" s="1" t="str">
        <f>"08"</f>
        <v>08</v>
      </c>
      <c r="B190" s="4" t="str">
        <f>"PIECES AUTO 08"</f>
        <v>PIECES AUTO 08</v>
      </c>
      <c r="C190" s="4">
        <v>918305483</v>
      </c>
      <c r="D190" s="3" t="s">
        <v>0</v>
      </c>
      <c r="E190" s="2" t="str">
        <f>"PR0800013D"</f>
        <v>PR0800013D</v>
      </c>
      <c r="F190" s="5">
        <v>45061</v>
      </c>
      <c r="G190" s="5">
        <v>54789</v>
      </c>
      <c r="H190" s="4" t="str">
        <f>""</f>
        <v/>
      </c>
      <c r="I190" s="4" t="str">
        <f>""</f>
        <v/>
      </c>
    </row>
    <row r="191" spans="1:9" x14ac:dyDescent="0.3">
      <c r="A191" s="1" t="str">
        <f>"09"</f>
        <v>09</v>
      </c>
      <c r="B191" s="4" t="str">
        <f>"SAICA NATUR SUD"</f>
        <v>SAICA NATUR SUD</v>
      </c>
      <c r="C191" s="4">
        <v>348969197</v>
      </c>
      <c r="D191" s="3" t="s">
        <v>0</v>
      </c>
      <c r="E191" s="2" t="str">
        <f>"PR090006D"</f>
        <v>PR090006D</v>
      </c>
      <c r="F191" s="5">
        <v>40024</v>
      </c>
      <c r="G191" s="5">
        <v>54789</v>
      </c>
      <c r="H191" s="4" t="str">
        <f>""</f>
        <v/>
      </c>
      <c r="I191" s="4" t="str">
        <f>""</f>
        <v/>
      </c>
    </row>
    <row r="192" spans="1:9" x14ac:dyDescent="0.3">
      <c r="A192" s="1" t="str">
        <f>"09"</f>
        <v>09</v>
      </c>
      <c r="B192" s="4" t="str">
        <f>"SAICA NATUR SUD"</f>
        <v>SAICA NATUR SUD</v>
      </c>
      <c r="C192" s="4">
        <v>348969197</v>
      </c>
      <c r="D192" s="3" t="s">
        <v>0</v>
      </c>
      <c r="E192" s="2" t="str">
        <f>"0006802658"</f>
        <v>0006802658</v>
      </c>
      <c r="F192" s="5">
        <v>40024</v>
      </c>
      <c r="G192" s="5">
        <v>54789</v>
      </c>
      <c r="H192" s="4" t="str">
        <f>""</f>
        <v/>
      </c>
      <c r="I192" s="4" t="str">
        <f>""</f>
        <v/>
      </c>
    </row>
    <row r="193" spans="1:9" x14ac:dyDescent="0.3">
      <c r="A193" s="1" t="str">
        <f>"09"</f>
        <v>09</v>
      </c>
      <c r="B193" s="4" t="str">
        <f>"SARL DS Recyclage"</f>
        <v>SARL DS Recyclage</v>
      </c>
      <c r="C193" s="4">
        <v>378011217</v>
      </c>
      <c r="D193" s="3" t="s">
        <v>0</v>
      </c>
      <c r="E193" s="2" t="str">
        <f>"PR090008D"</f>
        <v>PR090008D</v>
      </c>
      <c r="F193" s="5">
        <v>43074</v>
      </c>
      <c r="G193" s="5">
        <v>54789</v>
      </c>
      <c r="H193" s="4" t="str">
        <f>""</f>
        <v/>
      </c>
      <c r="I193" s="4" t="str">
        <f>""</f>
        <v/>
      </c>
    </row>
    <row r="194" spans="1:9" x14ac:dyDescent="0.3">
      <c r="A194" s="1" t="str">
        <f>"09"</f>
        <v>09</v>
      </c>
      <c r="B194" s="4" t="str">
        <f>"SARL DS Recyclage"</f>
        <v>SARL DS Recyclage</v>
      </c>
      <c r="C194" s="4">
        <v>378011217</v>
      </c>
      <c r="D194" s="3" t="s">
        <v>0</v>
      </c>
      <c r="E194" s="2" t="str">
        <f>"0003701153"</f>
        <v>0003701153</v>
      </c>
      <c r="F194" s="5">
        <v>43074</v>
      </c>
      <c r="G194" s="5">
        <v>54789</v>
      </c>
      <c r="H194" s="4" t="str">
        <f>""</f>
        <v/>
      </c>
      <c r="I194" s="4" t="str">
        <f>""</f>
        <v/>
      </c>
    </row>
    <row r="195" spans="1:9" x14ac:dyDescent="0.3">
      <c r="A195" s="1" t="str">
        <f>"09"</f>
        <v>09</v>
      </c>
      <c r="B195" s="4" t="str">
        <f>"SAS SO RAR"</f>
        <v>SAS SO RAR</v>
      </c>
      <c r="C195" s="4">
        <v>395028905</v>
      </c>
      <c r="D195" s="3" t="s">
        <v>0</v>
      </c>
      <c r="E195" s="2" t="str">
        <f>"PR090001D"</f>
        <v>PR090001D</v>
      </c>
      <c r="F195" s="5">
        <v>38899</v>
      </c>
      <c r="G195" s="5">
        <v>54789</v>
      </c>
      <c r="H195" s="4" t="str">
        <f>""</f>
        <v/>
      </c>
      <c r="I195" s="4" t="str">
        <f>""</f>
        <v/>
      </c>
    </row>
    <row r="196" spans="1:9" x14ac:dyDescent="0.3">
      <c r="A196" s="1" t="str">
        <f>"09"</f>
        <v>09</v>
      </c>
      <c r="B196" s="4" t="str">
        <f>"SAS SO RAR"</f>
        <v>SAS SO RAR</v>
      </c>
      <c r="C196" s="4">
        <v>395028905</v>
      </c>
      <c r="D196" s="3" t="s">
        <v>0</v>
      </c>
      <c r="E196" s="2" t="str">
        <f>"0006802872"</f>
        <v>0006802872</v>
      </c>
      <c r="F196" s="5">
        <v>38899</v>
      </c>
      <c r="G196" s="5">
        <v>54789</v>
      </c>
      <c r="H196" s="4" t="str">
        <f>""</f>
        <v/>
      </c>
      <c r="I196" s="4" t="str">
        <f>""</f>
        <v/>
      </c>
    </row>
    <row r="197" spans="1:9" x14ac:dyDescent="0.3">
      <c r="A197" s="1" t="str">
        <f>"09"</f>
        <v>09</v>
      </c>
      <c r="B197" s="4" t="str">
        <f>"SARL CASSE AUTO JACKY"</f>
        <v>SARL CASSE AUTO JACKY</v>
      </c>
      <c r="C197" s="4">
        <v>429831779</v>
      </c>
      <c r="D197" s="3" t="s">
        <v>0</v>
      </c>
      <c r="E197" s="2" t="str">
        <f>"PR090004D"</f>
        <v>PR090004D</v>
      </c>
      <c r="F197" s="5">
        <v>39099</v>
      </c>
      <c r="G197" s="5">
        <v>54789</v>
      </c>
      <c r="H197" s="4" t="str">
        <f>""</f>
        <v/>
      </c>
      <c r="I197" s="4" t="str">
        <f>""</f>
        <v/>
      </c>
    </row>
    <row r="198" spans="1:9" x14ac:dyDescent="0.3">
      <c r="A198" s="1" t="str">
        <f>"09"</f>
        <v>09</v>
      </c>
      <c r="B198" s="4" t="str">
        <f>"SARL CASSE AUTO JACKY"</f>
        <v>SARL CASSE AUTO JACKY</v>
      </c>
      <c r="C198" s="4">
        <v>429831779</v>
      </c>
      <c r="D198" s="3" t="s">
        <v>0</v>
      </c>
      <c r="E198" s="2" t="str">
        <f>"0006804919"</f>
        <v>0006804919</v>
      </c>
      <c r="F198" s="5">
        <v>39099</v>
      </c>
      <c r="G198" s="5">
        <v>54789</v>
      </c>
      <c r="H198" s="4" t="str">
        <f>""</f>
        <v/>
      </c>
      <c r="I198" s="4" t="str">
        <f>""</f>
        <v/>
      </c>
    </row>
    <row r="199" spans="1:9" x14ac:dyDescent="0.3">
      <c r="A199" s="1" t="str">
        <f>"09"</f>
        <v>09</v>
      </c>
      <c r="B199" s="4" t="str">
        <f>"SARL EDICIMO RECUPERATION"</f>
        <v>SARL EDICIMO RECUPERATION</v>
      </c>
      <c r="C199" s="4">
        <v>431513597</v>
      </c>
      <c r="D199" s="3" t="s">
        <v>0</v>
      </c>
      <c r="E199" s="2" t="str">
        <f>"PR090003D"</f>
        <v>PR090003D</v>
      </c>
      <c r="F199" s="5">
        <v>39034</v>
      </c>
      <c r="G199" s="5">
        <v>54789</v>
      </c>
      <c r="H199" s="4" t="str">
        <f>""</f>
        <v/>
      </c>
      <c r="I199" s="4" t="str">
        <f>""</f>
        <v/>
      </c>
    </row>
    <row r="200" spans="1:9" x14ac:dyDescent="0.3">
      <c r="A200" s="1" t="str">
        <f>"09"</f>
        <v>09</v>
      </c>
      <c r="B200" s="4" t="str">
        <f>"SARL EDICIMO RECUPERATION"</f>
        <v>SARL EDICIMO RECUPERATION</v>
      </c>
      <c r="C200" s="4">
        <v>431513597</v>
      </c>
      <c r="D200" s="3" t="s">
        <v>0</v>
      </c>
      <c r="E200" s="2" t="str">
        <f>"0006802675"</f>
        <v>0006802675</v>
      </c>
      <c r="F200" s="5">
        <v>39034</v>
      </c>
      <c r="G200" s="5">
        <v>54789</v>
      </c>
      <c r="H200" s="4" t="str">
        <f>""</f>
        <v/>
      </c>
      <c r="I200" s="4" t="str">
        <f>""</f>
        <v/>
      </c>
    </row>
    <row r="201" spans="1:9" x14ac:dyDescent="0.3">
      <c r="A201" s="1" t="str">
        <f>"09"</f>
        <v>09</v>
      </c>
      <c r="B201" s="4" t="str">
        <f>"SARL MAZARD PIECES AUTOS 09"</f>
        <v>SARL MAZARD PIECES AUTOS 09</v>
      </c>
      <c r="C201" s="4">
        <v>484948351</v>
      </c>
      <c r="D201" s="3" t="s">
        <v>0</v>
      </c>
      <c r="E201" s="2" t="str">
        <f>"PR090005D"</f>
        <v>PR090005D</v>
      </c>
      <c r="F201" s="5">
        <v>39099</v>
      </c>
      <c r="G201" s="5">
        <v>54789</v>
      </c>
      <c r="H201" s="4" t="str">
        <f>""</f>
        <v/>
      </c>
      <c r="I201" s="4" t="str">
        <f>""</f>
        <v/>
      </c>
    </row>
    <row r="202" spans="1:9" x14ac:dyDescent="0.3">
      <c r="A202" s="1" t="str">
        <f>"09"</f>
        <v>09</v>
      </c>
      <c r="B202" s="4" t="str">
        <f>"SARL MAZARD PIECES AUTOS 09"</f>
        <v>SARL MAZARD PIECES AUTOS 09</v>
      </c>
      <c r="C202" s="4">
        <v>484948351</v>
      </c>
      <c r="D202" s="3" t="s">
        <v>0</v>
      </c>
      <c r="E202" s="2" t="str">
        <f>"0006802863"</f>
        <v>0006802863</v>
      </c>
      <c r="F202" s="5">
        <v>39099</v>
      </c>
      <c r="G202" s="5">
        <v>54789</v>
      </c>
      <c r="H202" s="4" t="str">
        <f>""</f>
        <v/>
      </c>
      <c r="I202" s="4" t="str">
        <f>""</f>
        <v/>
      </c>
    </row>
    <row r="203" spans="1:9" x14ac:dyDescent="0.3">
      <c r="A203" s="1" t="str">
        <f>"09"</f>
        <v>09</v>
      </c>
      <c r="B203" s="4" t="str">
        <f>"SARL ETABLISSEMENTS FAURE"</f>
        <v>SARL ETABLISSEMENTS FAURE</v>
      </c>
      <c r="C203" s="4">
        <v>513392878</v>
      </c>
      <c r="D203" s="3" t="s">
        <v>0</v>
      </c>
      <c r="E203" s="2" t="str">
        <f>"PR090007D"</f>
        <v>PR090007D</v>
      </c>
      <c r="F203" s="5">
        <v>40164</v>
      </c>
      <c r="G203" s="5">
        <v>54789</v>
      </c>
      <c r="H203" s="4" t="str">
        <f>""</f>
        <v/>
      </c>
      <c r="I203" s="4" t="str">
        <f>""</f>
        <v/>
      </c>
    </row>
    <row r="204" spans="1:9" x14ac:dyDescent="0.3">
      <c r="A204" s="1" t="str">
        <f>"09"</f>
        <v>09</v>
      </c>
      <c r="B204" s="4" t="str">
        <f>"SARL ETABLISSEMENTS FAURE"</f>
        <v>SARL ETABLISSEMENTS FAURE</v>
      </c>
      <c r="C204" s="4">
        <v>513392878</v>
      </c>
      <c r="D204" s="3" t="s">
        <v>0</v>
      </c>
      <c r="E204" s="2" t="str">
        <f>"0006807770"</f>
        <v>0006807770</v>
      </c>
      <c r="F204" s="5">
        <v>40164</v>
      </c>
      <c r="G204" s="5">
        <v>54789</v>
      </c>
      <c r="H204" s="4" t="str">
        <f>""</f>
        <v/>
      </c>
      <c r="I204" s="4" t="str">
        <f>""</f>
        <v/>
      </c>
    </row>
    <row r="205" spans="1:9" x14ac:dyDescent="0.3">
      <c r="A205" s="1" t="str">
        <f>"09"</f>
        <v>09</v>
      </c>
      <c r="B205" s="4" t="str">
        <f>"DETAIL AUTO SAS"</f>
        <v>DETAIL AUTO SAS</v>
      </c>
      <c r="C205" s="4">
        <v>877608752</v>
      </c>
      <c r="D205" s="3" t="s">
        <v>0</v>
      </c>
      <c r="E205" s="2" t="str">
        <f>"PR090002D"</f>
        <v>PR090002D</v>
      </c>
      <c r="F205" s="5">
        <v>43739</v>
      </c>
      <c r="G205" s="5">
        <v>54789</v>
      </c>
      <c r="H205" s="4" t="str">
        <f>""</f>
        <v/>
      </c>
      <c r="I205" s="4" t="str">
        <f>""</f>
        <v/>
      </c>
    </row>
    <row r="206" spans="1:9" x14ac:dyDescent="0.3">
      <c r="A206" s="1" t="str">
        <f>"09"</f>
        <v>09</v>
      </c>
      <c r="B206" s="4" t="str">
        <f>"DETAIL AUTO SAS"</f>
        <v>DETAIL AUTO SAS</v>
      </c>
      <c r="C206" s="4">
        <v>877608752</v>
      </c>
      <c r="D206" s="3" t="s">
        <v>0</v>
      </c>
      <c r="E206" s="2" t="str">
        <f>"0006805159"</f>
        <v>0006805159</v>
      </c>
      <c r="F206" s="5">
        <v>43739</v>
      </c>
      <c r="G206" s="5">
        <v>54789</v>
      </c>
      <c r="H206" s="4" t="str">
        <f>""</f>
        <v/>
      </c>
      <c r="I206" s="4" t="str">
        <f>""</f>
        <v/>
      </c>
    </row>
    <row r="207" spans="1:9" x14ac:dyDescent="0.3">
      <c r="A207" s="1" t="str">
        <f>"10"</f>
        <v>10</v>
      </c>
      <c r="B207" s="4" t="str">
        <f>"STEPHAN (0005703286)"</f>
        <v>STEPHAN (0005703286)</v>
      </c>
      <c r="C207" s="4">
        <v>301922092</v>
      </c>
      <c r="D207" s="3" t="s">
        <v>0</v>
      </c>
      <c r="E207" s="2" t="str">
        <f>"PR1000007D"</f>
        <v>PR1000007D</v>
      </c>
      <c r="F207" s="5">
        <v>39183</v>
      </c>
      <c r="G207" s="5">
        <v>54789</v>
      </c>
      <c r="H207" s="4" t="str">
        <f>""</f>
        <v/>
      </c>
      <c r="I207" s="4" t="str">
        <f>""</f>
        <v/>
      </c>
    </row>
    <row r="208" spans="1:9" x14ac:dyDescent="0.3">
      <c r="A208" s="1" t="str">
        <f>"10"</f>
        <v>10</v>
      </c>
      <c r="B208" s="4" t="str">
        <f>"ADNOT Père et Fils"</f>
        <v>ADNOT Père et Fils</v>
      </c>
      <c r="C208" s="4">
        <v>326964905</v>
      </c>
      <c r="D208" s="3" t="s">
        <v>0</v>
      </c>
      <c r="E208" s="2" t="str">
        <f>"PR1000001D"</f>
        <v>PR1000001D</v>
      </c>
      <c r="F208" s="5">
        <v>43206</v>
      </c>
      <c r="G208" s="5">
        <v>54789</v>
      </c>
      <c r="H208" s="4" t="str">
        <f>""</f>
        <v/>
      </c>
      <c r="I208" s="4" t="str">
        <f>""</f>
        <v/>
      </c>
    </row>
    <row r="209" spans="1:9" x14ac:dyDescent="0.3">
      <c r="A209" s="1" t="str">
        <f>"10"</f>
        <v>10</v>
      </c>
      <c r="B209" s="4" t="str">
        <f>"MAIZIERES AUTOMOBILES"</f>
        <v>MAIZIERES AUTOMOBILES</v>
      </c>
      <c r="C209" s="4">
        <v>387646250</v>
      </c>
      <c r="D209" s="3" t="s">
        <v>0</v>
      </c>
      <c r="E209" s="2" t="str">
        <f>"PR1000005D"</f>
        <v>PR1000005D</v>
      </c>
      <c r="F209" s="5">
        <v>43255</v>
      </c>
      <c r="G209" s="5">
        <v>54789</v>
      </c>
      <c r="H209" s="4" t="str">
        <f>""</f>
        <v/>
      </c>
      <c r="I209" s="4" t="str">
        <f>""</f>
        <v/>
      </c>
    </row>
    <row r="210" spans="1:9" x14ac:dyDescent="0.3">
      <c r="A210" s="1" t="str">
        <f>"10"</f>
        <v>10</v>
      </c>
      <c r="B210" s="4" t="str">
        <f>"PAPREC METAL CONSTRUCTION FRANCE"</f>
        <v>PAPREC METAL CONSTRUCTION FRANCE</v>
      </c>
      <c r="C210" s="4">
        <v>424217321</v>
      </c>
      <c r="D210" s="3" t="s">
        <v>0</v>
      </c>
      <c r="E210" s="2" t="str">
        <f>"PR1000011D"</f>
        <v>PR1000011D</v>
      </c>
      <c r="F210" s="5">
        <v>42915</v>
      </c>
      <c r="G210" s="5">
        <v>54789</v>
      </c>
      <c r="H210" s="4" t="str">
        <f>""</f>
        <v/>
      </c>
      <c r="I210" s="4" t="str">
        <f>""</f>
        <v/>
      </c>
    </row>
    <row r="211" spans="1:9" x14ac:dyDescent="0.3">
      <c r="A211" s="1" t="str">
        <f>"10"</f>
        <v>10</v>
      </c>
      <c r="B211" s="4" t="str">
        <f>"TEN CAR"</f>
        <v>TEN CAR</v>
      </c>
      <c r="C211" s="4">
        <v>434512810</v>
      </c>
      <c r="D211" s="3" t="s">
        <v>0</v>
      </c>
      <c r="E211" s="2" t="str">
        <f>"PR1000004D"</f>
        <v>PR1000004D</v>
      </c>
      <c r="F211" s="5">
        <v>43255</v>
      </c>
      <c r="G211" s="5">
        <v>54789</v>
      </c>
      <c r="H211" s="4" t="str">
        <f>""</f>
        <v/>
      </c>
      <c r="I211" s="4" t="str">
        <f>""</f>
        <v/>
      </c>
    </row>
    <row r="212" spans="1:9" x14ac:dyDescent="0.3">
      <c r="A212" s="1" t="str">
        <f>"10"</f>
        <v>10</v>
      </c>
      <c r="B212" s="4" t="str">
        <f>"AUTO-CASSE THIEBAULT"</f>
        <v>AUTO-CASSE THIEBAULT</v>
      </c>
      <c r="C212" s="4">
        <v>444068720</v>
      </c>
      <c r="D212" s="3" t="s">
        <v>0</v>
      </c>
      <c r="E212" s="2" t="str">
        <f>"PR1000003D"</f>
        <v>PR1000003D</v>
      </c>
      <c r="F212" s="5">
        <v>43199</v>
      </c>
      <c r="G212" s="5">
        <v>54789</v>
      </c>
      <c r="H212" s="4" t="str">
        <f>""</f>
        <v/>
      </c>
      <c r="I212" s="4" t="str">
        <f>""</f>
        <v/>
      </c>
    </row>
    <row r="213" spans="1:9" x14ac:dyDescent="0.3">
      <c r="A213" s="1" t="str">
        <f>"10"</f>
        <v>10</v>
      </c>
      <c r="B213" s="4" t="str">
        <f>"AUTO PIECES TROYENNES"</f>
        <v>AUTO PIECES TROYENNES</v>
      </c>
      <c r="C213" s="4">
        <v>448565218</v>
      </c>
      <c r="D213" s="3" t="s">
        <v>0</v>
      </c>
      <c r="E213" s="2" t="str">
        <f>"PR1000006D"</f>
        <v>PR1000006D</v>
      </c>
      <c r="F213" s="5">
        <v>43381</v>
      </c>
      <c r="G213" s="5">
        <v>54789</v>
      </c>
      <c r="H213" s="4" t="str">
        <f>""</f>
        <v/>
      </c>
      <c r="I213" s="4" t="str">
        <f>""</f>
        <v/>
      </c>
    </row>
    <row r="214" spans="1:9" x14ac:dyDescent="0.3">
      <c r="A214" s="1" t="str">
        <f>"10"</f>
        <v>10</v>
      </c>
      <c r="B214" s="4" t="str">
        <f>"ESKA"</f>
        <v>ESKA</v>
      </c>
      <c r="C214" s="4">
        <v>558502811</v>
      </c>
      <c r="D214" s="3" t="s">
        <v>0</v>
      </c>
      <c r="E214" s="2" t="str">
        <f>"PR1000008B"</f>
        <v>PR1000008B</v>
      </c>
      <c r="F214" s="5">
        <v>39416</v>
      </c>
      <c r="G214" s="5">
        <v>54789</v>
      </c>
      <c r="H214" s="4" t="str">
        <f>""</f>
        <v/>
      </c>
      <c r="I214" s="4" t="str">
        <f>""</f>
        <v/>
      </c>
    </row>
    <row r="215" spans="1:9" x14ac:dyDescent="0.3">
      <c r="A215" s="1" t="str">
        <f>"10"</f>
        <v>10</v>
      </c>
      <c r="B215" s="4" t="str">
        <f>"ESKA"</f>
        <v>ESKA</v>
      </c>
      <c r="C215" s="4">
        <v>558502811</v>
      </c>
      <c r="D215" s="3" t="s">
        <v>0</v>
      </c>
      <c r="E215" s="2" t="str">
        <f>"PR1000010D"</f>
        <v>PR1000010D</v>
      </c>
      <c r="F215" s="5">
        <v>39786</v>
      </c>
      <c r="G215" s="5">
        <v>54789</v>
      </c>
      <c r="H215" s="4" t="str">
        <f>""</f>
        <v/>
      </c>
      <c r="I215" s="4" t="str">
        <f>""</f>
        <v/>
      </c>
    </row>
    <row r="216" spans="1:9" x14ac:dyDescent="0.3">
      <c r="A216" s="1" t="str">
        <f>"10"</f>
        <v>10</v>
      </c>
      <c r="B216" s="4" t="str">
        <f>"RDS RECYCLING"</f>
        <v>RDS RECYCLING</v>
      </c>
      <c r="C216" s="4">
        <v>844640979</v>
      </c>
      <c r="D216" s="3" t="s">
        <v>0</v>
      </c>
      <c r="E216" s="2" t="str">
        <f>"PR1000012D"</f>
        <v>PR1000012D</v>
      </c>
      <c r="F216" s="5">
        <v>43637</v>
      </c>
      <c r="G216" s="5">
        <v>54789</v>
      </c>
      <c r="H216" s="4" t="str">
        <f>""</f>
        <v/>
      </c>
      <c r="I216" s="4" t="str">
        <f>""</f>
        <v/>
      </c>
    </row>
    <row r="217" spans="1:9" x14ac:dyDescent="0.3">
      <c r="A217" s="1" t="str">
        <f>"10"</f>
        <v>10</v>
      </c>
      <c r="B217" s="4" t="str">
        <f>"CAC (CASSE AUTO CHAPELAINE) (0003014508)"</f>
        <v>CAC (CASSE AUTO CHAPELAINE) (0003014508)</v>
      </c>
      <c r="C217" s="4">
        <v>848054003</v>
      </c>
      <c r="D217" s="3" t="s">
        <v>0</v>
      </c>
      <c r="E217" s="2" t="str">
        <f>"PR1000013D"</f>
        <v>PR1000013D</v>
      </c>
      <c r="F217" s="5">
        <v>39786</v>
      </c>
      <c r="G217" s="5">
        <v>54789</v>
      </c>
      <c r="H217" s="4" t="str">
        <f>""</f>
        <v/>
      </c>
      <c r="I217" s="4" t="str">
        <f>""</f>
        <v/>
      </c>
    </row>
    <row r="218" spans="1:9" x14ac:dyDescent="0.3">
      <c r="A218" s="1" t="str">
        <f>"107"</f>
        <v>107</v>
      </c>
      <c r="B218" s="4" t="str">
        <f>"FRANCE MOTEURS"</f>
        <v>FRANCE MOTEURS</v>
      </c>
      <c r="C218" s="4">
        <v>827613977</v>
      </c>
      <c r="D218" s="3" t="s">
        <v>0</v>
      </c>
      <c r="E218" s="2" t="str">
        <f>"0006524434"</f>
        <v>0006524434</v>
      </c>
      <c r="F218" s="5">
        <v>44271</v>
      </c>
      <c r="G218" s="5">
        <v>54789</v>
      </c>
      <c r="H218" s="4" t="str">
        <f>""</f>
        <v/>
      </c>
      <c r="I218" s="4" t="str">
        <f>""</f>
        <v/>
      </c>
    </row>
    <row r="219" spans="1:9" x14ac:dyDescent="0.3">
      <c r="A219" s="1" t="str">
        <f>"11"</f>
        <v>11</v>
      </c>
      <c r="B219" s="4" t="str">
        <f>"Société GUIRAUD"</f>
        <v>Société GUIRAUD</v>
      </c>
      <c r="C219" s="4">
        <v>326303658</v>
      </c>
      <c r="D219" s="3" t="s">
        <v>0</v>
      </c>
      <c r="E219" s="2" t="str">
        <f>"PR1100018D"</f>
        <v>PR1100018D</v>
      </c>
      <c r="F219" s="5">
        <v>43109</v>
      </c>
      <c r="G219" s="5">
        <v>54789</v>
      </c>
      <c r="H219" s="4" t="str">
        <f>"GUIRAUD"</f>
        <v>GUIRAUD</v>
      </c>
      <c r="I219" s="4" t="str">
        <f>"Jean-Pierre"</f>
        <v>Jean-Pierre</v>
      </c>
    </row>
    <row r="220" spans="1:9" x14ac:dyDescent="0.3">
      <c r="A220" s="1" t="str">
        <f>"11"</f>
        <v>11</v>
      </c>
      <c r="B220" s="4" t="str">
        <f>"Société GUIRAUD"</f>
        <v>Société GUIRAUD</v>
      </c>
      <c r="C220" s="4">
        <v>326303658</v>
      </c>
      <c r="D220" s="3" t="s">
        <v>0</v>
      </c>
      <c r="E220" s="2" t="str">
        <f>"0006600274"</f>
        <v>0006600274</v>
      </c>
      <c r="F220" s="5">
        <v>43109</v>
      </c>
      <c r="G220" s="5">
        <v>54789</v>
      </c>
      <c r="H220" s="4" t="str">
        <f>"GUIRAUD"</f>
        <v>GUIRAUD</v>
      </c>
      <c r="I220" s="4" t="str">
        <f>"Jean-Pierre"</f>
        <v>Jean-Pierre</v>
      </c>
    </row>
    <row r="221" spans="1:9" x14ac:dyDescent="0.3">
      <c r="A221" s="1" t="str">
        <f>"11"</f>
        <v>11</v>
      </c>
      <c r="B221" s="4" t="str">
        <f>"société CRR A.BOUSQUET"</f>
        <v>société CRR A.BOUSQUET</v>
      </c>
      <c r="C221" s="4">
        <v>327301875</v>
      </c>
      <c r="D221" s="3" t="s">
        <v>0</v>
      </c>
      <c r="E221" s="2" t="str">
        <f>"PR1100019D"</f>
        <v>PR1100019D</v>
      </c>
      <c r="F221" s="5">
        <v>42101</v>
      </c>
      <c r="G221" s="5">
        <v>54789</v>
      </c>
      <c r="H221" s="4" t="str">
        <f>"BOUSQUET"</f>
        <v>BOUSQUET</v>
      </c>
      <c r="I221" s="4" t="str">
        <f>"Alain"</f>
        <v>Alain</v>
      </c>
    </row>
    <row r="222" spans="1:9" x14ac:dyDescent="0.3">
      <c r="A222" s="1" t="str">
        <f>"11"</f>
        <v>11</v>
      </c>
      <c r="B222" s="4" t="str">
        <f>"société CRR A.BOUSQUET"</f>
        <v>société CRR A.BOUSQUET</v>
      </c>
      <c r="C222" s="4">
        <v>327301875</v>
      </c>
      <c r="D222" s="3" t="s">
        <v>0</v>
      </c>
      <c r="E222" s="2" t="str">
        <f>"0006600128"</f>
        <v>0006600128</v>
      </c>
      <c r="F222" s="5">
        <v>42101</v>
      </c>
      <c r="G222" s="5">
        <v>54789</v>
      </c>
      <c r="H222" s="4" t="str">
        <f>"BOUSQUET"</f>
        <v>BOUSQUET</v>
      </c>
      <c r="I222" s="4" t="str">
        <f>"Alain"</f>
        <v>Alain</v>
      </c>
    </row>
    <row r="223" spans="1:9" x14ac:dyDescent="0.3">
      <c r="A223" s="1" t="str">
        <f>"11"</f>
        <v>11</v>
      </c>
      <c r="B223" s="4" t="str">
        <f>"FONGARO JEAN-LOUIS"</f>
        <v>FONGARO JEAN-LOUIS</v>
      </c>
      <c r="C223" s="4">
        <v>340697622</v>
      </c>
      <c r="D223" s="3" t="s">
        <v>0</v>
      </c>
      <c r="E223" s="2" t="str">
        <f>"PR1100008D"</f>
        <v>PR1100008D</v>
      </c>
      <c r="F223" s="5">
        <v>43151</v>
      </c>
      <c r="G223" s="5">
        <v>54789</v>
      </c>
      <c r="H223" s="4" t="str">
        <f>"FONGARO"</f>
        <v>FONGARO</v>
      </c>
      <c r="I223" s="4" t="str">
        <f>"Jean"</f>
        <v>Jean</v>
      </c>
    </row>
    <row r="224" spans="1:9" x14ac:dyDescent="0.3">
      <c r="A224" s="1" t="str">
        <f>"11"</f>
        <v>11</v>
      </c>
      <c r="B224" s="4" t="str">
        <f>"FONGARO JEAN-LOUIS"</f>
        <v>FONGARO JEAN-LOUIS</v>
      </c>
      <c r="C224" s="4">
        <v>340697622</v>
      </c>
      <c r="D224" s="3" t="s">
        <v>0</v>
      </c>
      <c r="E224" s="2" t="str">
        <f>"0006600014"</f>
        <v>0006600014</v>
      </c>
      <c r="F224" s="5">
        <v>43151</v>
      </c>
      <c r="G224" s="5">
        <v>54789</v>
      </c>
      <c r="H224" s="4" t="str">
        <f>"FONGARO"</f>
        <v>FONGARO</v>
      </c>
      <c r="I224" s="4" t="str">
        <f>"Jean"</f>
        <v>Jean</v>
      </c>
    </row>
    <row r="225" spans="1:9" x14ac:dyDescent="0.3">
      <c r="A225" s="1" t="str">
        <f>"11"</f>
        <v>11</v>
      </c>
      <c r="B225" s="4" t="str">
        <f>"PIECES AUTOMOBILES OCCASIONS"</f>
        <v>PIECES AUTOMOBILES OCCASIONS</v>
      </c>
      <c r="C225" s="4">
        <v>342820305</v>
      </c>
      <c r="D225" s="3" t="s">
        <v>0</v>
      </c>
      <c r="E225" s="2" t="str">
        <f>"PR1100001D"</f>
        <v>PR1100001D</v>
      </c>
      <c r="F225" s="5">
        <v>43276</v>
      </c>
      <c r="G225" s="5">
        <v>54789</v>
      </c>
      <c r="H225" s="4" t="str">
        <f>""</f>
        <v/>
      </c>
      <c r="I225" s="4" t="str">
        <f>""</f>
        <v/>
      </c>
    </row>
    <row r="226" spans="1:9" x14ac:dyDescent="0.3">
      <c r="A226" s="1" t="str">
        <f>"11"</f>
        <v>11</v>
      </c>
      <c r="B226" s="4" t="str">
        <f>"PIECES AUTOMOBILES OCCASIONS"</f>
        <v>PIECES AUTOMOBILES OCCASIONS</v>
      </c>
      <c r="C226" s="4">
        <v>342820305</v>
      </c>
      <c r="D226" s="3" t="s">
        <v>0</v>
      </c>
      <c r="E226" s="2" t="str">
        <f>"006600272"</f>
        <v>006600272</v>
      </c>
      <c r="F226" s="5">
        <v>43276</v>
      </c>
      <c r="G226" s="5">
        <v>54789</v>
      </c>
      <c r="H226" s="4" t="str">
        <f>""</f>
        <v/>
      </c>
      <c r="I226" s="4" t="str">
        <f>""</f>
        <v/>
      </c>
    </row>
    <row r="227" spans="1:9" x14ac:dyDescent="0.3">
      <c r="A227" s="1" t="str">
        <f>"11"</f>
        <v>11</v>
      </c>
      <c r="B227" s="4" t="str">
        <f>"SARL JEAN FERRIOL METAUX"</f>
        <v>SARL JEAN FERRIOL METAUX</v>
      </c>
      <c r="C227" s="4">
        <v>380316331</v>
      </c>
      <c r="D227" s="3" t="s">
        <v>0</v>
      </c>
      <c r="E227" s="2" t="str">
        <f>"PR1100007D"</f>
        <v>PR1100007D</v>
      </c>
      <c r="F227" s="5">
        <v>43144</v>
      </c>
      <c r="G227" s="5">
        <v>54789</v>
      </c>
      <c r="H227" s="4" t="str">
        <f>""</f>
        <v/>
      </c>
      <c r="I227" s="4" t="str">
        <f>""</f>
        <v/>
      </c>
    </row>
    <row r="228" spans="1:9" x14ac:dyDescent="0.3">
      <c r="A228" s="1" t="str">
        <f>"11"</f>
        <v>11</v>
      </c>
      <c r="B228" s="4" t="str">
        <f>"SARL JEAN FERRIOL METAUX"</f>
        <v>SARL JEAN FERRIOL METAUX</v>
      </c>
      <c r="C228" s="4">
        <v>380316331</v>
      </c>
      <c r="D228" s="3" t="s">
        <v>0</v>
      </c>
      <c r="E228" s="2" t="str">
        <f>"0006600084"</f>
        <v>0006600084</v>
      </c>
      <c r="F228" s="5">
        <v>43144</v>
      </c>
      <c r="G228" s="5">
        <v>54789</v>
      </c>
      <c r="H228" s="4" t="str">
        <f>""</f>
        <v/>
      </c>
      <c r="I228" s="4" t="str">
        <f>""</f>
        <v/>
      </c>
    </row>
    <row r="229" spans="1:9" x14ac:dyDescent="0.3">
      <c r="A229" s="1" t="str">
        <f>"11"</f>
        <v>11</v>
      </c>
      <c r="B229" s="4" t="str">
        <f>"AFM RECYCLAGE CARCASSONNE"</f>
        <v>AFM RECYCLAGE CARCASSONNE</v>
      </c>
      <c r="C229" s="4">
        <v>383482635</v>
      </c>
      <c r="D229" s="3" t="s">
        <v>0</v>
      </c>
      <c r="E229" s="2" t="str">
        <f>"PR1100011D"</f>
        <v>PR1100011D</v>
      </c>
      <c r="F229" s="5">
        <v>43425</v>
      </c>
      <c r="G229" s="5">
        <v>54789</v>
      </c>
      <c r="H229" s="4" t="str">
        <f>""</f>
        <v/>
      </c>
      <c r="I229" s="4" t="str">
        <f>""</f>
        <v/>
      </c>
    </row>
    <row r="230" spans="1:9" x14ac:dyDescent="0.3">
      <c r="A230" s="1" t="str">
        <f>"11"</f>
        <v>11</v>
      </c>
      <c r="B230" s="4" t="str">
        <f>"AFM RECYCLAGE CARCASSONNE"</f>
        <v>AFM RECYCLAGE CARCASSONNE</v>
      </c>
      <c r="C230" s="4">
        <v>383482635</v>
      </c>
      <c r="D230" s="3" t="s">
        <v>0</v>
      </c>
      <c r="E230" s="2" t="str">
        <f>"0006600063"</f>
        <v>0006600063</v>
      </c>
      <c r="F230" s="5">
        <v>43425</v>
      </c>
      <c r="G230" s="5">
        <v>54789</v>
      </c>
      <c r="H230" s="4" t="str">
        <f>""</f>
        <v/>
      </c>
      <c r="I230" s="4" t="str">
        <f>""</f>
        <v/>
      </c>
    </row>
    <row r="231" spans="1:9" x14ac:dyDescent="0.3">
      <c r="A231" s="1" t="str">
        <f>"11"</f>
        <v>11</v>
      </c>
      <c r="B231" s="4" t="str">
        <f>"AUDE AUTO PIECES"</f>
        <v>AUDE AUTO PIECES</v>
      </c>
      <c r="C231" s="4">
        <v>423249937</v>
      </c>
      <c r="D231" s="3" t="s">
        <v>0</v>
      </c>
      <c r="E231" s="2" t="str">
        <f>"PR1100003D"</f>
        <v>PR1100003D</v>
      </c>
      <c r="F231" s="5">
        <v>42024</v>
      </c>
      <c r="G231" s="5">
        <v>54789</v>
      </c>
      <c r="H231" s="4" t="str">
        <f>""</f>
        <v/>
      </c>
      <c r="I231" s="4" t="str">
        <f>""</f>
        <v/>
      </c>
    </row>
    <row r="232" spans="1:9" x14ac:dyDescent="0.3">
      <c r="A232" s="1" t="str">
        <f>"11"</f>
        <v>11</v>
      </c>
      <c r="B232" s="4" t="str">
        <f>"AUDE AUTO PIECES"</f>
        <v>AUDE AUTO PIECES</v>
      </c>
      <c r="C232" s="4">
        <v>423249937</v>
      </c>
      <c r="D232" s="3" t="s">
        <v>0</v>
      </c>
      <c r="E232" s="2" t="str">
        <f>"00066000"</f>
        <v>00066000</v>
      </c>
      <c r="F232" s="5">
        <v>42024</v>
      </c>
      <c r="G232" s="5">
        <v>54789</v>
      </c>
      <c r="H232" s="4" t="str">
        <f>""</f>
        <v/>
      </c>
      <c r="I232" s="4" t="str">
        <f>""</f>
        <v/>
      </c>
    </row>
    <row r="233" spans="1:9" x14ac:dyDescent="0.3">
      <c r="A233" s="1" t="str">
        <f>"11"</f>
        <v>11</v>
      </c>
      <c r="B233" s="4" t="str">
        <f>"SARL EUROP CASS"</f>
        <v>SARL EUROP CASS</v>
      </c>
      <c r="C233" s="4">
        <v>431798966</v>
      </c>
      <c r="D233" s="3" t="s">
        <v>0</v>
      </c>
      <c r="E233" s="2" t="str">
        <f>"PR1100017D"</f>
        <v>PR1100017D</v>
      </c>
      <c r="F233" s="5">
        <v>42171</v>
      </c>
      <c r="G233" s="5">
        <v>54789</v>
      </c>
      <c r="H233" s="4" t="str">
        <f>""</f>
        <v/>
      </c>
      <c r="I233" s="4" t="str">
        <f>""</f>
        <v/>
      </c>
    </row>
    <row r="234" spans="1:9" x14ac:dyDescent="0.3">
      <c r="A234" s="1" t="str">
        <f>"11"</f>
        <v>11</v>
      </c>
      <c r="B234" s="4" t="str">
        <f>"SARL EUROP CASS"</f>
        <v>SARL EUROP CASS</v>
      </c>
      <c r="C234" s="4">
        <v>431798966</v>
      </c>
      <c r="D234" s="3" t="s">
        <v>0</v>
      </c>
      <c r="E234" s="2" t="str">
        <f>"0006604217"</f>
        <v>0006604217</v>
      </c>
      <c r="F234" s="5">
        <v>42171</v>
      </c>
      <c r="G234" s="5">
        <v>54789</v>
      </c>
      <c r="H234" s="4" t="str">
        <f>""</f>
        <v/>
      </c>
      <c r="I234" s="4" t="str">
        <f>""</f>
        <v/>
      </c>
    </row>
    <row r="235" spans="1:9" x14ac:dyDescent="0.3">
      <c r="A235" s="1" t="str">
        <f>"11"</f>
        <v>11</v>
      </c>
      <c r="B235" s="4" t="str">
        <f>"PEYRIAC AUTO DECONSTRUCTION - PAD"</f>
        <v>PEYRIAC AUTO DECONSTRUCTION - PAD</v>
      </c>
      <c r="C235" s="4">
        <v>439690637</v>
      </c>
      <c r="D235" s="3" t="s">
        <v>0</v>
      </c>
      <c r="E235" s="2" t="str">
        <f>"PR1100002D"</f>
        <v>PR1100002D</v>
      </c>
      <c r="F235" s="5">
        <v>41807</v>
      </c>
      <c r="G235" s="5">
        <v>54789</v>
      </c>
      <c r="H235" s="4" t="str">
        <f>""</f>
        <v/>
      </c>
      <c r="I235" s="4" t="str">
        <f>""</f>
        <v/>
      </c>
    </row>
    <row r="236" spans="1:9" x14ac:dyDescent="0.3">
      <c r="A236" s="1" t="str">
        <f>"11"</f>
        <v>11</v>
      </c>
      <c r="B236" s="4" t="str">
        <f>"PEYRIAC AUTO DECONSTRUCTION - PAD"</f>
        <v>PEYRIAC AUTO DECONSTRUCTION - PAD</v>
      </c>
      <c r="C236" s="4">
        <v>439690637</v>
      </c>
      <c r="D236" s="3" t="s">
        <v>0</v>
      </c>
      <c r="E236" s="2" t="str">
        <f>"0018200030"</f>
        <v>0018200030</v>
      </c>
      <c r="F236" s="5">
        <v>41807</v>
      </c>
      <c r="G236" s="5">
        <v>54789</v>
      </c>
      <c r="H236" s="4" t="str">
        <f>""</f>
        <v/>
      </c>
      <c r="I236" s="4" t="str">
        <f>""</f>
        <v/>
      </c>
    </row>
    <row r="237" spans="1:9" x14ac:dyDescent="0.3">
      <c r="A237" s="1" t="str">
        <f>"11"</f>
        <v>11</v>
      </c>
      <c r="B237" s="4" t="str">
        <f>"ACTIVE AUTO"</f>
        <v>ACTIVE AUTO</v>
      </c>
      <c r="C237" s="4">
        <v>443824578</v>
      </c>
      <c r="D237" s="3" t="s">
        <v>0</v>
      </c>
      <c r="E237" s="2" t="str">
        <f>"PR1100020D"</f>
        <v>PR1100020D</v>
      </c>
      <c r="F237" s="5">
        <v>43202</v>
      </c>
      <c r="G237" s="5">
        <v>54789</v>
      </c>
      <c r="H237" s="4" t="str">
        <f>"SAIM MAMOUN"</f>
        <v>SAIM MAMOUN</v>
      </c>
      <c r="I237" s="4" t="str">
        <f>"Aïcha"</f>
        <v>Aïcha</v>
      </c>
    </row>
    <row r="238" spans="1:9" x14ac:dyDescent="0.3">
      <c r="A238" s="1" t="str">
        <f>"11"</f>
        <v>11</v>
      </c>
      <c r="B238" s="4" t="str">
        <f>"ACTIVE AUTO"</f>
        <v>ACTIVE AUTO</v>
      </c>
      <c r="C238" s="4">
        <v>443824578</v>
      </c>
      <c r="D238" s="3" t="s">
        <v>0</v>
      </c>
      <c r="E238" s="2" t="str">
        <f>"0018200165"</f>
        <v>0018200165</v>
      </c>
      <c r="F238" s="5">
        <v>43202</v>
      </c>
      <c r="G238" s="5">
        <v>54789</v>
      </c>
      <c r="H238" s="4" t="str">
        <f>"SAIM MAMOUN"</f>
        <v>SAIM MAMOUN</v>
      </c>
      <c r="I238" s="4" t="str">
        <f>"Aïcha"</f>
        <v>Aïcha</v>
      </c>
    </row>
    <row r="239" spans="1:9" x14ac:dyDescent="0.3">
      <c r="A239" s="1" t="str">
        <f>"11"</f>
        <v>11</v>
      </c>
      <c r="B239" s="4" t="str">
        <f>"SARL THIEBAU"</f>
        <v>SARL THIEBAU</v>
      </c>
      <c r="C239" s="4">
        <v>522037332</v>
      </c>
      <c r="D239" s="3" t="s">
        <v>0</v>
      </c>
      <c r="E239" s="2" t="str">
        <f>"PR1100022D"</f>
        <v>PR1100022D</v>
      </c>
      <c r="F239" s="5">
        <v>41418</v>
      </c>
      <c r="G239" s="5">
        <v>54789</v>
      </c>
      <c r="H239" s="4" t="str">
        <f>"THIEBAUD"</f>
        <v>THIEBAUD</v>
      </c>
      <c r="I239" s="4" t="str">
        <f>"Tristan"</f>
        <v>Tristan</v>
      </c>
    </row>
    <row r="240" spans="1:9" x14ac:dyDescent="0.3">
      <c r="A240" s="1" t="str">
        <f>"11"</f>
        <v>11</v>
      </c>
      <c r="B240" s="4" t="str">
        <f>"SARL THIEBAU"</f>
        <v>SARL THIEBAU</v>
      </c>
      <c r="C240" s="4">
        <v>522037332</v>
      </c>
      <c r="D240" s="3" t="s">
        <v>0</v>
      </c>
      <c r="E240" s="2" t="str">
        <f>"0006600374"</f>
        <v>0006600374</v>
      </c>
      <c r="F240" s="5">
        <v>41418</v>
      </c>
      <c r="G240" s="5">
        <v>54789</v>
      </c>
      <c r="H240" s="4" t="str">
        <f>"THIEBAUD"</f>
        <v>THIEBAUD</v>
      </c>
      <c r="I240" s="4" t="str">
        <f>"Tristan"</f>
        <v>Tristan</v>
      </c>
    </row>
    <row r="241" spans="1:9" x14ac:dyDescent="0.3">
      <c r="A241" s="1" t="str">
        <f>"11"</f>
        <v>11</v>
      </c>
      <c r="B241" s="4" t="str">
        <f>"SARL FONGARO RECYCLING"</f>
        <v>SARL FONGARO RECYCLING</v>
      </c>
      <c r="C241" s="4">
        <v>538963604</v>
      </c>
      <c r="D241" s="3" t="s">
        <v>0</v>
      </c>
      <c r="E241" s="2" t="str">
        <f>"PR1100006D"</f>
        <v>PR1100006D</v>
      </c>
      <c r="F241" s="5">
        <v>45758</v>
      </c>
      <c r="G241" s="5">
        <v>54789</v>
      </c>
      <c r="H241" s="4" t="str">
        <f>"FONGARO"</f>
        <v>FONGARO</v>
      </c>
      <c r="I241" s="4" t="str">
        <f>"Jean-Louis"</f>
        <v>Jean-Louis</v>
      </c>
    </row>
    <row r="242" spans="1:9" x14ac:dyDescent="0.3">
      <c r="A242" s="1" t="str">
        <f>"11"</f>
        <v>11</v>
      </c>
      <c r="B242" s="4" t="str">
        <f>"SARL FONGARO RECYCLING"</f>
        <v>SARL FONGARO RECYCLING</v>
      </c>
      <c r="C242" s="4">
        <v>538963604</v>
      </c>
      <c r="D242" s="3" t="s">
        <v>0</v>
      </c>
      <c r="E242" s="2" t="str">
        <f>"0006600183"</f>
        <v>0006600183</v>
      </c>
      <c r="F242" s="5">
        <v>45758</v>
      </c>
      <c r="G242" s="5">
        <v>54789</v>
      </c>
      <c r="H242" s="4" t="str">
        <f>"FONGARO"</f>
        <v>FONGARO</v>
      </c>
      <c r="I242" s="4" t="str">
        <f>"Jean-Louis"</f>
        <v>Jean-Louis</v>
      </c>
    </row>
    <row r="243" spans="1:9" x14ac:dyDescent="0.3">
      <c r="A243" s="1" t="str">
        <f>"11"</f>
        <v>11</v>
      </c>
      <c r="B243" s="4" t="str">
        <f>"GT AUTO RECYCLAGE DE VOITURE"</f>
        <v>GT AUTO RECYCLAGE DE VOITURE</v>
      </c>
      <c r="C243" s="4">
        <v>751455031</v>
      </c>
      <c r="D243" s="3" t="s">
        <v>0</v>
      </c>
      <c r="E243" s="2" t="str">
        <f>"PR1100023D"</f>
        <v>PR1100023D</v>
      </c>
      <c r="F243" s="5">
        <v>41479</v>
      </c>
      <c r="G243" s="5">
        <v>54789</v>
      </c>
      <c r="H243" s="4" t="str">
        <f>""</f>
        <v/>
      </c>
      <c r="I243" s="4" t="str">
        <f>""</f>
        <v/>
      </c>
    </row>
    <row r="244" spans="1:9" x14ac:dyDescent="0.3">
      <c r="A244" s="1" t="str">
        <f>"11"</f>
        <v>11</v>
      </c>
      <c r="B244" s="4" t="str">
        <f>"GT AUTO RECYCLAGE DE VOITURE"</f>
        <v>GT AUTO RECYCLAGE DE VOITURE</v>
      </c>
      <c r="C244" s="4">
        <v>751455031</v>
      </c>
      <c r="D244" s="3" t="s">
        <v>0</v>
      </c>
      <c r="E244" s="2" t="str">
        <f>"0006600375"</f>
        <v>0006600375</v>
      </c>
      <c r="F244" s="5">
        <v>41479</v>
      </c>
      <c r="G244" s="5">
        <v>54789</v>
      </c>
      <c r="H244" s="4" t="str">
        <f>""</f>
        <v/>
      </c>
      <c r="I244" s="4" t="str">
        <f>""</f>
        <v/>
      </c>
    </row>
    <row r="245" spans="1:9" x14ac:dyDescent="0.3">
      <c r="A245" s="1" t="str">
        <f>"11"</f>
        <v>11</v>
      </c>
      <c r="B245" s="4" t="str">
        <f>"VIDAL CASSE AUTO"</f>
        <v>VIDAL CASSE AUTO</v>
      </c>
      <c r="C245" s="4">
        <v>793707431</v>
      </c>
      <c r="D245" s="3" t="s">
        <v>0</v>
      </c>
      <c r="E245" s="2" t="str">
        <f>"PR1100025D"</f>
        <v>PR1100025D</v>
      </c>
      <c r="F245" s="5">
        <v>43775</v>
      </c>
      <c r="G245" s="5">
        <v>54789</v>
      </c>
      <c r="H245" s="4" t="str">
        <f>""</f>
        <v/>
      </c>
      <c r="I245" s="4" t="str">
        <f>""</f>
        <v/>
      </c>
    </row>
    <row r="246" spans="1:9" x14ac:dyDescent="0.3">
      <c r="A246" s="1" t="str">
        <f>"11"</f>
        <v>11</v>
      </c>
      <c r="B246" s="4" t="str">
        <f>"VIDAL CASSE AUTO"</f>
        <v>VIDAL CASSE AUTO</v>
      </c>
      <c r="C246" s="4">
        <v>793707431</v>
      </c>
      <c r="D246" s="3" t="s">
        <v>0</v>
      </c>
      <c r="E246" s="2" t="str">
        <f>"0006600059"</f>
        <v>0006600059</v>
      </c>
      <c r="F246" s="5">
        <v>43775</v>
      </c>
      <c r="G246" s="5">
        <v>54789</v>
      </c>
      <c r="H246" s="4" t="str">
        <f>""</f>
        <v/>
      </c>
      <c r="I246" s="4" t="str">
        <f>""</f>
        <v/>
      </c>
    </row>
    <row r="247" spans="1:9" x14ac:dyDescent="0.3">
      <c r="A247" s="1" t="str">
        <f>"11"</f>
        <v>11</v>
      </c>
      <c r="B247" s="4" t="str">
        <f>"KRISTAL CAR"</f>
        <v>KRISTAL CAR</v>
      </c>
      <c r="C247" s="4">
        <v>818172181</v>
      </c>
      <c r="D247" s="3" t="s">
        <v>0</v>
      </c>
      <c r="E247" s="2" t="str">
        <f>"PR1100018D"</f>
        <v>PR1100018D</v>
      </c>
      <c r="F247" s="5">
        <v>44583</v>
      </c>
      <c r="G247" s="5">
        <v>54789</v>
      </c>
      <c r="H247" s="4" t="str">
        <f>""</f>
        <v/>
      </c>
      <c r="I247" s="4" t="str">
        <f>""</f>
        <v/>
      </c>
    </row>
    <row r="248" spans="1:9" x14ac:dyDescent="0.3">
      <c r="A248" s="1" t="str">
        <f>"11"</f>
        <v>11</v>
      </c>
      <c r="B248" s="4" t="str">
        <f>"KRISTAL CAR"</f>
        <v>KRISTAL CAR</v>
      </c>
      <c r="C248" s="4">
        <v>818172181</v>
      </c>
      <c r="D248" s="3" t="s">
        <v>0</v>
      </c>
      <c r="E248" s="2" t="str">
        <f>"0006600274"</f>
        <v>0006600274</v>
      </c>
      <c r="F248" s="5">
        <v>44583</v>
      </c>
      <c r="G248" s="5">
        <v>54789</v>
      </c>
      <c r="H248" s="4" t="str">
        <f>""</f>
        <v/>
      </c>
      <c r="I248" s="4" t="str">
        <f>""</f>
        <v/>
      </c>
    </row>
    <row r="249" spans="1:9" x14ac:dyDescent="0.3">
      <c r="A249" s="1" t="str">
        <f>"11"</f>
        <v>11</v>
      </c>
      <c r="B249" s="4" t="str">
        <f>"SUPERCASS SAFORA AUTOMOBILES"</f>
        <v>SUPERCASS SAFORA AUTOMOBILES</v>
      </c>
      <c r="C249" s="4">
        <v>827483884</v>
      </c>
      <c r="D249" s="3" t="s">
        <v>0</v>
      </c>
      <c r="E249" s="2" t="str">
        <f>"PR1100026D"</f>
        <v>PR1100026D</v>
      </c>
      <c r="F249" s="5">
        <v>43307</v>
      </c>
      <c r="G249" s="5">
        <v>54789</v>
      </c>
      <c r="H249" s="4" t="str">
        <f>""</f>
        <v/>
      </c>
      <c r="I249" s="4" t="str">
        <f>""</f>
        <v/>
      </c>
    </row>
    <row r="250" spans="1:9" x14ac:dyDescent="0.3">
      <c r="A250" s="1" t="str">
        <f>"11"</f>
        <v>11</v>
      </c>
      <c r="B250" s="4" t="str">
        <f>"SUPERCASS SAFORA AUTOMOBILES"</f>
        <v>SUPERCASS SAFORA AUTOMOBILES</v>
      </c>
      <c r="C250" s="4">
        <v>827483884</v>
      </c>
      <c r="D250" s="3" t="s">
        <v>0</v>
      </c>
      <c r="E250" s="2" t="str">
        <f>"0006600230"</f>
        <v>0006600230</v>
      </c>
      <c r="F250" s="5">
        <v>43307</v>
      </c>
      <c r="G250" s="5">
        <v>54789</v>
      </c>
      <c r="H250" s="4" t="str">
        <f>""</f>
        <v/>
      </c>
      <c r="I250" s="4" t="str">
        <f>""</f>
        <v/>
      </c>
    </row>
    <row r="251" spans="1:9" x14ac:dyDescent="0.3">
      <c r="A251" s="1" t="str">
        <f>"11"</f>
        <v>11</v>
      </c>
      <c r="B251" s="4" t="str">
        <f>"RECYCL'AUTOS 11"</f>
        <v>RECYCL'AUTOS 11</v>
      </c>
      <c r="C251" s="4">
        <v>927897157</v>
      </c>
      <c r="D251" s="3" t="s">
        <v>0</v>
      </c>
      <c r="E251" s="2" t="str">
        <f>"PR1100027D"</f>
        <v>PR1100027D</v>
      </c>
      <c r="F251" s="5">
        <v>45533</v>
      </c>
      <c r="G251" s="5">
        <v>54789</v>
      </c>
      <c r="H251" s="4" t="str">
        <f>"YONNET"</f>
        <v>YONNET</v>
      </c>
      <c r="I251" s="4" t="str">
        <f>"Nicolas"</f>
        <v>Nicolas</v>
      </c>
    </row>
    <row r="252" spans="1:9" x14ac:dyDescent="0.3">
      <c r="A252" s="1" t="str">
        <f>"11"</f>
        <v>11</v>
      </c>
      <c r="B252" s="4" t="str">
        <f>"RECYCL'AUTOS 11"</f>
        <v>RECYCL'AUTOS 11</v>
      </c>
      <c r="C252" s="4">
        <v>927897157</v>
      </c>
      <c r="D252" s="3" t="s">
        <v>0</v>
      </c>
      <c r="E252" s="2" t="str">
        <f>"0003702864"</f>
        <v>0003702864</v>
      </c>
      <c r="F252" s="5">
        <v>45533</v>
      </c>
      <c r="G252" s="5">
        <v>54789</v>
      </c>
      <c r="H252" s="4" t="str">
        <f>"YONNET"</f>
        <v>YONNET</v>
      </c>
      <c r="I252" s="4" t="str">
        <f>"Nicolas"</f>
        <v>Nicolas</v>
      </c>
    </row>
    <row r="253" spans="1:9" x14ac:dyDescent="0.3">
      <c r="A253" s="1" t="str">
        <f>"11"</f>
        <v>11</v>
      </c>
      <c r="B253" s="4" t="str">
        <f>"SAS EC'AUTO"</f>
        <v>SAS EC'AUTO</v>
      </c>
      <c r="C253" s="4">
        <v>940613979</v>
      </c>
      <c r="D253" s="3" t="s">
        <v>0</v>
      </c>
      <c r="E253" s="2" t="str">
        <f>"PR1100024D"</f>
        <v>PR1100024D</v>
      </c>
      <c r="F253" s="5">
        <v>43759</v>
      </c>
      <c r="G253" s="5">
        <v>54789</v>
      </c>
      <c r="H253" s="4" t="str">
        <f>""</f>
        <v/>
      </c>
      <c r="I253" s="4" t="str">
        <f>""</f>
        <v/>
      </c>
    </row>
    <row r="254" spans="1:9" x14ac:dyDescent="0.3">
      <c r="A254" s="1" t="str">
        <f>"11"</f>
        <v>11</v>
      </c>
      <c r="B254" s="4" t="str">
        <f>"SAS EC'AUTO"</f>
        <v>SAS EC'AUTO</v>
      </c>
      <c r="C254" s="4">
        <v>940613979</v>
      </c>
      <c r="D254" s="3" t="s">
        <v>0</v>
      </c>
      <c r="E254" s="2" t="str">
        <f>"0006600085"</f>
        <v>0006600085</v>
      </c>
      <c r="F254" s="5">
        <v>43759</v>
      </c>
      <c r="G254" s="5">
        <v>54789</v>
      </c>
      <c r="H254" s="4" t="str">
        <f>""</f>
        <v/>
      </c>
      <c r="I254" s="4" t="str">
        <f>""</f>
        <v/>
      </c>
    </row>
    <row r="255" spans="1:9" x14ac:dyDescent="0.3">
      <c r="A255" s="1" t="str">
        <f>"12"</f>
        <v>12</v>
      </c>
      <c r="B255" s="4" t="str">
        <f>"SARL AUTOMOBILES MARTIN"</f>
        <v>SARL AUTOMOBILES MARTIN</v>
      </c>
      <c r="C255" s="4">
        <v>344203435</v>
      </c>
      <c r="D255" s="3" t="s">
        <v>0</v>
      </c>
      <c r="E255" s="2" t="str">
        <f>"PR1200011D"</f>
        <v>PR1200011D</v>
      </c>
      <c r="F255" s="5">
        <v>39057</v>
      </c>
      <c r="G255" s="5">
        <v>54789</v>
      </c>
      <c r="H255" s="4" t="str">
        <f>""</f>
        <v/>
      </c>
      <c r="I255" s="4" t="str">
        <f>""</f>
        <v/>
      </c>
    </row>
    <row r="256" spans="1:9" x14ac:dyDescent="0.3">
      <c r="A256" s="1" t="str">
        <f>"12"</f>
        <v>12</v>
      </c>
      <c r="B256" s="4" t="str">
        <f>"SARL AUTOMOBILES MARTIN"</f>
        <v>SARL AUTOMOBILES MARTIN</v>
      </c>
      <c r="C256" s="4">
        <v>344203435</v>
      </c>
      <c r="D256" s="3" t="s">
        <v>0</v>
      </c>
      <c r="E256" s="2" t="str">
        <f>"0006803561"</f>
        <v>0006803561</v>
      </c>
      <c r="F256" s="5">
        <v>39057</v>
      </c>
      <c r="G256" s="5">
        <v>54789</v>
      </c>
      <c r="H256" s="4" t="str">
        <f>""</f>
        <v/>
      </c>
      <c r="I256" s="4" t="str">
        <f>""</f>
        <v/>
      </c>
    </row>
    <row r="257" spans="1:9" x14ac:dyDescent="0.3">
      <c r="A257" s="1" t="str">
        <f>"12"</f>
        <v>12</v>
      </c>
      <c r="B257" s="4" t="str">
        <f>"SARL CASS AUTO DU BASSIN"</f>
        <v>SARL CASS AUTO DU BASSIN</v>
      </c>
      <c r="C257" s="4">
        <v>349503987</v>
      </c>
      <c r="D257" s="3" t="s">
        <v>0</v>
      </c>
      <c r="E257" s="2" t="str">
        <f>"PR1200003D"</f>
        <v>PR1200003D</v>
      </c>
      <c r="F257" s="5">
        <v>38860</v>
      </c>
      <c r="G257" s="5">
        <v>54789</v>
      </c>
      <c r="H257" s="4" t="str">
        <f>""</f>
        <v/>
      </c>
      <c r="I257" s="4" t="str">
        <f>""</f>
        <v/>
      </c>
    </row>
    <row r="258" spans="1:9" x14ac:dyDescent="0.3">
      <c r="A258" s="1" t="str">
        <f>"12"</f>
        <v>12</v>
      </c>
      <c r="B258" s="4" t="str">
        <f>"SARL CASS AUTO DU BASSIN"</f>
        <v>SARL CASS AUTO DU BASSIN</v>
      </c>
      <c r="C258" s="4">
        <v>349503987</v>
      </c>
      <c r="D258" s="3" t="s">
        <v>0</v>
      </c>
      <c r="E258" s="2" t="str">
        <f>"0006804129"</f>
        <v>0006804129</v>
      </c>
      <c r="F258" s="5">
        <v>43290</v>
      </c>
      <c r="G258" s="5">
        <v>54977</v>
      </c>
      <c r="H258" s="4" t="str">
        <f>""</f>
        <v/>
      </c>
      <c r="I258" s="4" t="str">
        <f>""</f>
        <v/>
      </c>
    </row>
    <row r="259" spans="1:9" x14ac:dyDescent="0.3">
      <c r="A259" s="1" t="str">
        <f>"12"</f>
        <v>12</v>
      </c>
      <c r="B259" s="4" t="str">
        <f>"SAS BRIANE JEAN"</f>
        <v>SAS BRIANE JEAN</v>
      </c>
      <c r="C259" s="4">
        <v>402058184</v>
      </c>
      <c r="D259" s="3" t="s">
        <v>0</v>
      </c>
      <c r="E259" s="2" t="str">
        <f>"PR1200010D"</f>
        <v>PR1200010D</v>
      </c>
      <c r="F259" s="5">
        <v>43455</v>
      </c>
      <c r="G259" s="5">
        <v>54789</v>
      </c>
      <c r="H259" s="4" t="str">
        <f>""</f>
        <v/>
      </c>
      <c r="I259" s="4" t="str">
        <f>""</f>
        <v/>
      </c>
    </row>
    <row r="260" spans="1:9" x14ac:dyDescent="0.3">
      <c r="A260" s="1" t="str">
        <f>"12"</f>
        <v>12</v>
      </c>
      <c r="B260" s="4" t="str">
        <f>"SAS BRIANE JEAN"</f>
        <v>SAS BRIANE JEAN</v>
      </c>
      <c r="C260" s="4">
        <v>402058184</v>
      </c>
      <c r="D260" s="3" t="s">
        <v>0</v>
      </c>
      <c r="E260" s="2" t="str">
        <f>"0006803568"</f>
        <v>0006803568</v>
      </c>
      <c r="F260" s="5">
        <v>43455</v>
      </c>
      <c r="G260" s="5">
        <v>54789</v>
      </c>
      <c r="H260" s="4" t="str">
        <f>""</f>
        <v/>
      </c>
      <c r="I260" s="4" t="str">
        <f>""</f>
        <v/>
      </c>
    </row>
    <row r="261" spans="1:9" x14ac:dyDescent="0.3">
      <c r="A261" s="1" t="str">
        <f>"12"</f>
        <v>12</v>
      </c>
      <c r="B261" s="4" t="str">
        <f>"SARL A.P.B."</f>
        <v>SARL A.P.B.</v>
      </c>
      <c r="C261" s="4">
        <v>411048556</v>
      </c>
      <c r="D261" s="3" t="s">
        <v>0</v>
      </c>
      <c r="E261" s="2" t="str">
        <f>"PR1200007D"</f>
        <v>PR1200007D</v>
      </c>
      <c r="F261" s="5">
        <v>38993</v>
      </c>
      <c r="G261" s="5">
        <v>54789</v>
      </c>
      <c r="H261" s="4" t="str">
        <f>""</f>
        <v/>
      </c>
      <c r="I261" s="4" t="str">
        <f>""</f>
        <v/>
      </c>
    </row>
    <row r="262" spans="1:9" x14ac:dyDescent="0.3">
      <c r="A262" s="1" t="str">
        <f>"12"</f>
        <v>12</v>
      </c>
      <c r="B262" s="4" t="str">
        <f>"SARL A.P.B."</f>
        <v>SARL A.P.B.</v>
      </c>
      <c r="C262" s="4">
        <v>411048556</v>
      </c>
      <c r="D262" s="3" t="s">
        <v>0</v>
      </c>
      <c r="E262" s="2" t="str">
        <f>"0006803564"</f>
        <v>0006803564</v>
      </c>
      <c r="F262" s="5">
        <v>38993</v>
      </c>
      <c r="G262" s="5">
        <v>54789</v>
      </c>
      <c r="H262" s="4" t="str">
        <f>""</f>
        <v/>
      </c>
      <c r="I262" s="4" t="str">
        <f>""</f>
        <v/>
      </c>
    </row>
    <row r="263" spans="1:9" x14ac:dyDescent="0.3">
      <c r="A263" s="1" t="str">
        <f>"12"</f>
        <v>12</v>
      </c>
      <c r="B263" s="4" t="str">
        <f>"SARL BELLE ET FILS"</f>
        <v>SARL BELLE ET FILS</v>
      </c>
      <c r="C263" s="4">
        <v>411876444</v>
      </c>
      <c r="D263" s="3" t="s">
        <v>0</v>
      </c>
      <c r="E263" s="2" t="str">
        <f>"PR1200005D"</f>
        <v>PR1200005D</v>
      </c>
      <c r="F263" s="5">
        <v>38901</v>
      </c>
      <c r="G263" s="5">
        <v>54789</v>
      </c>
      <c r="H263" s="4" t="str">
        <f>""</f>
        <v/>
      </c>
      <c r="I263" s="4" t="str">
        <f>""</f>
        <v/>
      </c>
    </row>
    <row r="264" spans="1:9" x14ac:dyDescent="0.3">
      <c r="A264" s="1" t="str">
        <f>"12"</f>
        <v>12</v>
      </c>
      <c r="B264" s="4" t="str">
        <f>"SARL BELLE ET FILS"</f>
        <v>SARL BELLE ET FILS</v>
      </c>
      <c r="C264" s="4">
        <v>411876444</v>
      </c>
      <c r="D264" s="3" t="s">
        <v>0</v>
      </c>
      <c r="E264" s="2" t="str">
        <f>"0006803672"</f>
        <v>0006803672</v>
      </c>
      <c r="F264" s="5">
        <v>38901</v>
      </c>
      <c r="G264" s="5">
        <v>54789</v>
      </c>
      <c r="H264" s="4" t="str">
        <f>""</f>
        <v/>
      </c>
      <c r="I264" s="4" t="str">
        <f>""</f>
        <v/>
      </c>
    </row>
    <row r="265" spans="1:9" x14ac:dyDescent="0.3">
      <c r="A265" s="1" t="str">
        <f>"12"</f>
        <v>12</v>
      </c>
      <c r="B265" s="4" t="str">
        <f>"SOCIETE SIRMET"</f>
        <v>SOCIETE SIRMET</v>
      </c>
      <c r="C265" s="4">
        <v>432383321</v>
      </c>
      <c r="D265" s="3" t="s">
        <v>0</v>
      </c>
      <c r="E265" s="2" t="str">
        <f>"PR1200004D"</f>
        <v>PR1200004D</v>
      </c>
      <c r="F265" s="5">
        <v>42433</v>
      </c>
      <c r="G265" s="5">
        <v>54789</v>
      </c>
      <c r="H265" s="4" t="str">
        <f>""</f>
        <v/>
      </c>
      <c r="I265" s="4" t="str">
        <f>""</f>
        <v/>
      </c>
    </row>
    <row r="266" spans="1:9" x14ac:dyDescent="0.3">
      <c r="A266" s="1" t="str">
        <f>"12"</f>
        <v>12</v>
      </c>
      <c r="B266" s="4" t="str">
        <f>"SARL BOUDOU RECUPERATION"</f>
        <v>SARL BOUDOU RECUPERATION</v>
      </c>
      <c r="C266" s="4">
        <v>498696996</v>
      </c>
      <c r="D266" s="3" t="s">
        <v>0</v>
      </c>
      <c r="E266" s="2" t="str">
        <f>"PR1200015D"</f>
        <v>PR1200015D</v>
      </c>
      <c r="F266" s="5">
        <v>39345</v>
      </c>
      <c r="G266" s="5">
        <v>54789</v>
      </c>
      <c r="H266" s="4" t="str">
        <f>""</f>
        <v/>
      </c>
      <c r="I266" s="4" t="str">
        <f>""</f>
        <v/>
      </c>
    </row>
    <row r="267" spans="1:9" x14ac:dyDescent="0.3">
      <c r="A267" s="1" t="str">
        <f>"12"</f>
        <v>12</v>
      </c>
      <c r="B267" s="4" t="str">
        <f>"SARL BOUDOU RECUPERATION"</f>
        <v>SARL BOUDOU RECUPERATION</v>
      </c>
      <c r="C267" s="4">
        <v>498696996</v>
      </c>
      <c r="D267" s="3" t="s">
        <v>0</v>
      </c>
      <c r="E267" s="2" t="str">
        <f>"0006803573"</f>
        <v>0006803573</v>
      </c>
      <c r="F267" s="5">
        <v>39345</v>
      </c>
      <c r="G267" s="5">
        <v>54789</v>
      </c>
      <c r="H267" s="4" t="str">
        <f>""</f>
        <v/>
      </c>
      <c r="I267" s="4" t="str">
        <f>""</f>
        <v/>
      </c>
    </row>
    <row r="268" spans="1:9" x14ac:dyDescent="0.3">
      <c r="A268" s="1" t="str">
        <f>"12"</f>
        <v>12</v>
      </c>
      <c r="B268" s="4" t="str">
        <f>"MILLAU PIECE AUTO RECYCLAGE"</f>
        <v>MILLAU PIECE AUTO RECYCLAGE</v>
      </c>
      <c r="C268" s="4">
        <v>500237698</v>
      </c>
      <c r="D268" s="3" t="s">
        <v>0</v>
      </c>
      <c r="E268" s="2" t="str">
        <f>"PR1200002D"</f>
        <v>PR1200002D</v>
      </c>
      <c r="F268" s="5">
        <v>38860</v>
      </c>
      <c r="G268" s="5">
        <v>54789</v>
      </c>
      <c r="H268" s="4" t="str">
        <f>""</f>
        <v/>
      </c>
      <c r="I268" s="4" t="str">
        <f>""</f>
        <v/>
      </c>
    </row>
    <row r="269" spans="1:9" x14ac:dyDescent="0.3">
      <c r="A269" s="1" t="str">
        <f>"12"</f>
        <v>12</v>
      </c>
      <c r="B269" s="4" t="str">
        <f>"MILLAU PIECE AUTO RECYCLAGE"</f>
        <v>MILLAU PIECE AUTO RECYCLAGE</v>
      </c>
      <c r="C269" s="4">
        <v>500237698</v>
      </c>
      <c r="D269" s="3" t="s">
        <v>0</v>
      </c>
      <c r="E269" s="2" t="str">
        <f>"0006803563"</f>
        <v>0006803563</v>
      </c>
      <c r="F269" s="5">
        <v>38860</v>
      </c>
      <c r="G269" s="5">
        <v>55073</v>
      </c>
      <c r="H269" s="4" t="str">
        <f>""</f>
        <v/>
      </c>
      <c r="I269" s="4" t="str">
        <f>""</f>
        <v/>
      </c>
    </row>
    <row r="270" spans="1:9" x14ac:dyDescent="0.3">
      <c r="A270" s="1" t="str">
        <f>"12"</f>
        <v>12</v>
      </c>
      <c r="B270" s="4" t="str">
        <f>"SARL SABAFER J2S"</f>
        <v>SARL SABAFER J2S</v>
      </c>
      <c r="C270" s="4">
        <v>790838445</v>
      </c>
      <c r="D270" s="3" t="s">
        <v>0</v>
      </c>
      <c r="E270" s="2" t="str">
        <f>"PR1200012D"</f>
        <v>PR1200012D</v>
      </c>
      <c r="F270" s="5">
        <v>41422</v>
      </c>
      <c r="G270" s="5">
        <v>54789</v>
      </c>
      <c r="H270" s="4" t="str">
        <f>""</f>
        <v/>
      </c>
      <c r="I270" s="4" t="str">
        <f>""</f>
        <v/>
      </c>
    </row>
    <row r="271" spans="1:9" x14ac:dyDescent="0.3">
      <c r="A271" s="1" t="str">
        <f>"12"</f>
        <v>12</v>
      </c>
      <c r="B271" s="4" t="str">
        <f>"SARL SABAFER J2S"</f>
        <v>SARL SABAFER J2S</v>
      </c>
      <c r="C271" s="4">
        <v>790838445</v>
      </c>
      <c r="D271" s="3" t="s">
        <v>0</v>
      </c>
      <c r="E271" s="2" t="str">
        <f>"0006803574"</f>
        <v>0006803574</v>
      </c>
      <c r="F271" s="5">
        <v>41422</v>
      </c>
      <c r="G271" s="5">
        <v>54789</v>
      </c>
      <c r="H271" s="4" t="str">
        <f>""</f>
        <v/>
      </c>
      <c r="I271" s="4" t="str">
        <f>""</f>
        <v/>
      </c>
    </row>
    <row r="272" spans="1:9" x14ac:dyDescent="0.3">
      <c r="A272" s="1" t="str">
        <f>"12"</f>
        <v>12</v>
      </c>
      <c r="B272" s="4" t="str">
        <f>"SASU MANUFACTURE D'OC"</f>
        <v>SASU MANUFACTURE D'OC</v>
      </c>
      <c r="C272" s="4">
        <v>791259344</v>
      </c>
      <c r="D272" s="3" t="s">
        <v>0</v>
      </c>
      <c r="E272" s="2" t="str">
        <f>"PR1200001D"</f>
        <v>PR1200001D</v>
      </c>
      <c r="F272" s="5">
        <v>43313</v>
      </c>
      <c r="G272" s="5">
        <v>54789</v>
      </c>
      <c r="H272" s="4" t="str">
        <f>""</f>
        <v/>
      </c>
      <c r="I272" s="4" t="str">
        <f>""</f>
        <v/>
      </c>
    </row>
    <row r="273" spans="1:9" x14ac:dyDescent="0.3">
      <c r="A273" s="1" t="str">
        <f>"12"</f>
        <v>12</v>
      </c>
      <c r="B273" s="4" t="str">
        <f>"SASU MANUFACTURE D'OC"</f>
        <v>SASU MANUFACTURE D'OC</v>
      </c>
      <c r="C273" s="4">
        <v>791259344</v>
      </c>
      <c r="D273" s="3" t="s">
        <v>0</v>
      </c>
      <c r="E273" s="2" t="str">
        <f>"0006804963"</f>
        <v>0006804963</v>
      </c>
      <c r="F273" s="5">
        <v>43313</v>
      </c>
      <c r="G273" s="5">
        <v>54789</v>
      </c>
      <c r="H273" s="4" t="str">
        <f>""</f>
        <v/>
      </c>
      <c r="I273" s="4" t="str">
        <f>""</f>
        <v/>
      </c>
    </row>
    <row r="274" spans="1:9" x14ac:dyDescent="0.3">
      <c r="A274" s="1" t="str">
        <f>"12"</f>
        <v>12</v>
      </c>
      <c r="B274" s="4" t="str">
        <f>"SAS GLR 12"</f>
        <v>SAS GLR 12</v>
      </c>
      <c r="C274" s="4">
        <v>851602342</v>
      </c>
      <c r="D274" s="3" t="s">
        <v>0</v>
      </c>
      <c r="E274" s="2" t="str">
        <f>"PR1200006D"</f>
        <v>PR1200006D</v>
      </c>
      <c r="F274" s="5">
        <v>43853</v>
      </c>
      <c r="G274" s="5">
        <v>54789</v>
      </c>
      <c r="H274" s="4" t="str">
        <f>""</f>
        <v/>
      </c>
      <c r="I274" s="4" t="str">
        <f>""</f>
        <v/>
      </c>
    </row>
    <row r="275" spans="1:9" x14ac:dyDescent="0.3">
      <c r="A275" s="1" t="str">
        <f>"12"</f>
        <v>12</v>
      </c>
      <c r="B275" s="4" t="str">
        <f>"SAS GLR 12"</f>
        <v>SAS GLR 12</v>
      </c>
      <c r="C275" s="4">
        <v>851602342</v>
      </c>
      <c r="D275" s="3" t="s">
        <v>0</v>
      </c>
      <c r="E275" s="2" t="str">
        <f>"0006803572"</f>
        <v>0006803572</v>
      </c>
      <c r="F275" s="5">
        <v>43853</v>
      </c>
      <c r="G275" s="5">
        <v>54789</v>
      </c>
      <c r="H275" s="4" t="str">
        <f>""</f>
        <v/>
      </c>
      <c r="I275" s="4" t="str">
        <f>""</f>
        <v/>
      </c>
    </row>
    <row r="276" spans="1:9" x14ac:dyDescent="0.3">
      <c r="A276" s="1" t="str">
        <f>"13"</f>
        <v>13</v>
      </c>
      <c r="B276" s="4" t="str">
        <f>"PIECES AUTOS MOTOS OCCASIONS"</f>
        <v>PIECES AUTOS MOTOS OCCASIONS</v>
      </c>
      <c r="C276" s="4">
        <v>316539444</v>
      </c>
      <c r="D276" s="3" t="s">
        <v>0</v>
      </c>
      <c r="E276" s="2" t="str">
        <f>"0006401045"</f>
        <v>0006401045</v>
      </c>
      <c r="F276" s="5">
        <v>39114</v>
      </c>
      <c r="G276" s="5">
        <v>54789</v>
      </c>
      <c r="H276" s="4" t="str">
        <f>""</f>
        <v/>
      </c>
      <c r="I276" s="4" t="str">
        <f>""</f>
        <v/>
      </c>
    </row>
    <row r="277" spans="1:9" x14ac:dyDescent="0.3">
      <c r="A277" s="1" t="str">
        <f>"13"</f>
        <v>13</v>
      </c>
      <c r="B277" s="4" t="str">
        <f>"PIECES AUTOS MOTOS OCCASIONS"</f>
        <v>PIECES AUTOS MOTOS OCCASIONS</v>
      </c>
      <c r="C277" s="4">
        <v>316539444</v>
      </c>
      <c r="D277" s="3" t="s">
        <v>0</v>
      </c>
      <c r="E277" s="2" t="str">
        <f>"PR1300028D"</f>
        <v>PR1300028D</v>
      </c>
      <c r="F277" s="5">
        <v>39114</v>
      </c>
      <c r="G277" s="5">
        <v>54789</v>
      </c>
      <c r="H277" s="4" t="str">
        <f>""</f>
        <v/>
      </c>
      <c r="I277" s="4" t="str">
        <f>""</f>
        <v/>
      </c>
    </row>
    <row r="278" spans="1:9" x14ac:dyDescent="0.3">
      <c r="A278" s="1" t="str">
        <f>"13"</f>
        <v>13</v>
      </c>
      <c r="B278" s="4" t="str">
        <f>"MANRIQUE"</f>
        <v>MANRIQUE</v>
      </c>
      <c r="C278" s="4">
        <v>326462298</v>
      </c>
      <c r="D278" s="3" t="s">
        <v>0</v>
      </c>
      <c r="E278" s="2" t="str">
        <f>"PR1300003D"</f>
        <v>PR1300003D</v>
      </c>
      <c r="F278" s="5">
        <v>38902</v>
      </c>
      <c r="G278" s="5">
        <v>54789</v>
      </c>
      <c r="H278" s="4" t="str">
        <f>""</f>
        <v/>
      </c>
      <c r="I278" s="4" t="str">
        <f>""</f>
        <v/>
      </c>
    </row>
    <row r="279" spans="1:9" x14ac:dyDescent="0.3">
      <c r="A279" s="1" t="str">
        <f>"13"</f>
        <v>13</v>
      </c>
      <c r="B279" s="4" t="str">
        <f>"PROFER"</f>
        <v>PROFER</v>
      </c>
      <c r="C279" s="4">
        <v>331365338</v>
      </c>
      <c r="D279" s="3" t="s">
        <v>0</v>
      </c>
      <c r="E279" s="2" t="str">
        <f>"PR1300026B"</f>
        <v>PR1300026B</v>
      </c>
      <c r="F279" s="5">
        <v>39013</v>
      </c>
      <c r="G279" s="5">
        <v>54789</v>
      </c>
      <c r="H279" s="4" t="str">
        <f>""</f>
        <v/>
      </c>
      <c r="I279" s="4" t="str">
        <f>""</f>
        <v/>
      </c>
    </row>
    <row r="280" spans="1:9" x14ac:dyDescent="0.3">
      <c r="A280" s="1" t="str">
        <f>"13"</f>
        <v>13</v>
      </c>
      <c r="B280" s="4" t="str">
        <f>"PROFER"</f>
        <v>PROFER</v>
      </c>
      <c r="C280" s="4">
        <v>331365338</v>
      </c>
      <c r="D280" s="3" t="s">
        <v>0</v>
      </c>
      <c r="E280" s="2" t="str">
        <f>"PR1300026D"</f>
        <v>PR1300026D</v>
      </c>
      <c r="F280" s="5">
        <v>39013</v>
      </c>
      <c r="G280" s="5">
        <v>54789</v>
      </c>
      <c r="H280" s="4" t="str">
        <f>""</f>
        <v/>
      </c>
      <c r="I280" s="4" t="str">
        <f>""</f>
        <v/>
      </c>
    </row>
    <row r="281" spans="1:9" x14ac:dyDescent="0.3">
      <c r="A281" s="1" t="str">
        <f>"13"</f>
        <v>13</v>
      </c>
      <c r="B281" s="4" t="str">
        <f>"PROFER"</f>
        <v>PROFER</v>
      </c>
      <c r="C281" s="4">
        <v>331365338</v>
      </c>
      <c r="D281" s="3" t="s">
        <v>0</v>
      </c>
      <c r="E281" s="2" t="str">
        <f>"0006400678"</f>
        <v>0006400678</v>
      </c>
      <c r="F281" s="5">
        <v>39013</v>
      </c>
      <c r="G281" s="5">
        <v>54789</v>
      </c>
      <c r="H281" s="4" t="str">
        <f>""</f>
        <v/>
      </c>
      <c r="I281" s="4" t="str">
        <f>""</f>
        <v/>
      </c>
    </row>
    <row r="282" spans="1:9" x14ac:dyDescent="0.3">
      <c r="A282" s="1" t="str">
        <f>"13"</f>
        <v>13</v>
      </c>
      <c r="B282" s="4" t="str">
        <f>"PURFER"</f>
        <v>PURFER</v>
      </c>
      <c r="C282" s="4">
        <v>332628171</v>
      </c>
      <c r="D282" s="3" t="s">
        <v>0</v>
      </c>
      <c r="E282" s="2" t="str">
        <f>"0006402458"</f>
        <v>0006402458</v>
      </c>
      <c r="F282" s="5">
        <v>42569</v>
      </c>
      <c r="G282" s="5">
        <v>54789</v>
      </c>
      <c r="H282" s="4" t="str">
        <f>""</f>
        <v/>
      </c>
      <c r="I282" s="4" t="str">
        <f>""</f>
        <v/>
      </c>
    </row>
    <row r="283" spans="1:9" x14ac:dyDescent="0.3">
      <c r="A283" s="1" t="str">
        <f>"13"</f>
        <v>13</v>
      </c>
      <c r="B283" s="4" t="str">
        <f>"PURFER"</f>
        <v>PURFER</v>
      </c>
      <c r="C283" s="4">
        <v>332628171</v>
      </c>
      <c r="D283" s="3" t="s">
        <v>0</v>
      </c>
      <c r="E283" s="2" t="str">
        <f>"0006400570"</f>
        <v>0006400570</v>
      </c>
      <c r="F283" s="5">
        <v>38905</v>
      </c>
      <c r="G283" s="5">
        <v>54789</v>
      </c>
      <c r="H283" s="4" t="str">
        <f>""</f>
        <v/>
      </c>
      <c r="I283" s="4" t="str">
        <f>""</f>
        <v/>
      </c>
    </row>
    <row r="284" spans="1:9" x14ac:dyDescent="0.3">
      <c r="A284" s="1" t="str">
        <f>"13"</f>
        <v>13</v>
      </c>
      <c r="B284" s="4" t="str">
        <f>"PURFER"</f>
        <v>PURFER</v>
      </c>
      <c r="C284" s="4">
        <v>332628171</v>
      </c>
      <c r="D284" s="3" t="s">
        <v>0</v>
      </c>
      <c r="E284" s="2" t="str">
        <f>"PR1300016D"</f>
        <v>PR1300016D</v>
      </c>
      <c r="F284" s="5">
        <v>38905</v>
      </c>
      <c r="G284" s="5">
        <v>54789</v>
      </c>
      <c r="H284" s="4" t="str">
        <f>""</f>
        <v/>
      </c>
      <c r="I284" s="4" t="str">
        <f>""</f>
        <v/>
      </c>
    </row>
    <row r="285" spans="1:9" x14ac:dyDescent="0.3">
      <c r="A285" s="1" t="str">
        <f>"13"</f>
        <v>13</v>
      </c>
      <c r="B285" s="4" t="str">
        <f>"PURFER"</f>
        <v>PURFER</v>
      </c>
      <c r="C285" s="4">
        <v>332628171</v>
      </c>
      <c r="D285" s="3" t="s">
        <v>0</v>
      </c>
      <c r="E285" s="2" t="str">
        <f>"PR1300057D"</f>
        <v>PR1300057D</v>
      </c>
      <c r="F285" s="5">
        <v>42569</v>
      </c>
      <c r="G285" s="5">
        <v>54789</v>
      </c>
      <c r="H285" s="4" t="str">
        <f>""</f>
        <v/>
      </c>
      <c r="I285" s="4" t="str">
        <f>""</f>
        <v/>
      </c>
    </row>
    <row r="286" spans="1:9" x14ac:dyDescent="0.3">
      <c r="A286" s="1" t="str">
        <f>"13"</f>
        <v>13</v>
      </c>
      <c r="B286" s="4" t="str">
        <f>"LES MILLES PIECES AUTOS"</f>
        <v>LES MILLES PIECES AUTOS</v>
      </c>
      <c r="C286" s="4">
        <v>333545010</v>
      </c>
      <c r="D286" s="3" t="s">
        <v>0</v>
      </c>
      <c r="E286" s="2" t="str">
        <f>"PR1300037D"</f>
        <v>PR1300037D</v>
      </c>
      <c r="F286" s="5">
        <v>39283</v>
      </c>
      <c r="G286" s="5">
        <v>54789</v>
      </c>
      <c r="H286" s="4" t="str">
        <f>""</f>
        <v/>
      </c>
      <c r="I286" s="4" t="str">
        <f>""</f>
        <v/>
      </c>
    </row>
    <row r="287" spans="1:9" x14ac:dyDescent="0.3">
      <c r="A287" s="1" t="str">
        <f>"13"</f>
        <v>13</v>
      </c>
      <c r="B287" s="4" t="str">
        <f>"LES MILLES PIECES AUTOS"</f>
        <v>LES MILLES PIECES AUTOS</v>
      </c>
      <c r="C287" s="4">
        <v>333545010</v>
      </c>
      <c r="D287" s="3" t="s">
        <v>0</v>
      </c>
      <c r="E287" s="2" t="str">
        <f>"0006406502"</f>
        <v>0006406502</v>
      </c>
      <c r="F287" s="5">
        <v>39283</v>
      </c>
      <c r="G287" s="5">
        <v>54789</v>
      </c>
      <c r="H287" s="4" t="str">
        <f>""</f>
        <v/>
      </c>
      <c r="I287" s="4" t="str">
        <f>""</f>
        <v/>
      </c>
    </row>
    <row r="288" spans="1:9" x14ac:dyDescent="0.3">
      <c r="A288" s="1" t="str">
        <f>"13"</f>
        <v>13</v>
      </c>
      <c r="B288" s="4" t="str">
        <f>"DADDI SRI"</f>
        <v>DADDI SRI</v>
      </c>
      <c r="C288" s="4">
        <v>333747475</v>
      </c>
      <c r="D288" s="3" t="s">
        <v>0</v>
      </c>
      <c r="E288" s="2" t="str">
        <f>"PR1300018B"</f>
        <v>PR1300018B</v>
      </c>
      <c r="F288" s="5">
        <v>42079</v>
      </c>
      <c r="G288" s="5">
        <v>54789</v>
      </c>
      <c r="H288" s="4" t="str">
        <f>""</f>
        <v/>
      </c>
      <c r="I288" s="4" t="str">
        <f>""</f>
        <v/>
      </c>
    </row>
    <row r="289" spans="1:9" x14ac:dyDescent="0.3">
      <c r="A289" s="1" t="str">
        <f>"13"</f>
        <v>13</v>
      </c>
      <c r="B289" s="4" t="str">
        <f>"DADDI SRI"</f>
        <v>DADDI SRI</v>
      </c>
      <c r="C289" s="4">
        <v>333747475</v>
      </c>
      <c r="D289" s="3" t="s">
        <v>0</v>
      </c>
      <c r="E289" s="2" t="str">
        <f>"PR1300018D"</f>
        <v>PR1300018D</v>
      </c>
      <c r="F289" s="5">
        <v>42079</v>
      </c>
      <c r="G289" s="5">
        <v>54789</v>
      </c>
      <c r="H289" s="4" t="str">
        <f>""</f>
        <v/>
      </c>
      <c r="I289" s="4" t="str">
        <f>""</f>
        <v/>
      </c>
    </row>
    <row r="290" spans="1:9" x14ac:dyDescent="0.3">
      <c r="A290" s="1" t="str">
        <f>"13"</f>
        <v>13</v>
      </c>
      <c r="B290" s="4" t="str">
        <f>"IPA"</f>
        <v>IPA</v>
      </c>
      <c r="C290" s="4">
        <v>335146833</v>
      </c>
      <c r="D290" s="3" t="s">
        <v>0</v>
      </c>
      <c r="E290" s="2" t="str">
        <f>"PR13000059D"</f>
        <v>PR13000059D</v>
      </c>
      <c r="F290" s="5">
        <v>42753</v>
      </c>
      <c r="G290" s="5">
        <v>54789</v>
      </c>
      <c r="H290" s="4" t="str">
        <f>""</f>
        <v/>
      </c>
      <c r="I290" s="4" t="str">
        <f>""</f>
        <v/>
      </c>
    </row>
    <row r="291" spans="1:9" x14ac:dyDescent="0.3">
      <c r="A291" s="1" t="str">
        <f>"13"</f>
        <v>13</v>
      </c>
      <c r="B291" s="4" t="str">
        <f>"IPA"</f>
        <v>IPA</v>
      </c>
      <c r="C291" s="4">
        <v>335146833</v>
      </c>
      <c r="D291" s="3" t="s">
        <v>0</v>
      </c>
      <c r="E291" s="2" t="str">
        <f>"0006410696"</f>
        <v>0006410696</v>
      </c>
      <c r="F291" s="5">
        <v>42753</v>
      </c>
      <c r="G291" s="5">
        <v>54789</v>
      </c>
      <c r="H291" s="4" t="str">
        <f>""</f>
        <v/>
      </c>
      <c r="I291" s="4" t="str">
        <f>""</f>
        <v/>
      </c>
    </row>
    <row r="292" spans="1:9" x14ac:dyDescent="0.3">
      <c r="A292" s="1" t="str">
        <f>"13"</f>
        <v>13</v>
      </c>
      <c r="B292" s="4" t="str">
        <f>"DEPA MOTO"</f>
        <v>DEPA MOTO</v>
      </c>
      <c r="C292" s="4">
        <v>341250835</v>
      </c>
      <c r="D292" s="3" t="s">
        <v>0</v>
      </c>
      <c r="E292" s="2" t="str">
        <f>"PR1300054D"</f>
        <v>PR1300054D</v>
      </c>
      <c r="F292" s="5">
        <v>41978</v>
      </c>
      <c r="G292" s="5">
        <v>54789</v>
      </c>
      <c r="H292" s="4" t="str">
        <f>""</f>
        <v/>
      </c>
      <c r="I292" s="4" t="str">
        <f>""</f>
        <v/>
      </c>
    </row>
    <row r="293" spans="1:9" x14ac:dyDescent="0.3">
      <c r="A293" s="1" t="str">
        <f>"13"</f>
        <v>13</v>
      </c>
      <c r="B293" s="4" t="str">
        <f>"DEPA MOTO"</f>
        <v>DEPA MOTO</v>
      </c>
      <c r="C293" s="4">
        <v>341250835</v>
      </c>
      <c r="D293" s="3" t="s">
        <v>0</v>
      </c>
      <c r="E293" s="2" t="str">
        <f>"0006412047"</f>
        <v>0006412047</v>
      </c>
      <c r="F293" s="5">
        <v>41978</v>
      </c>
      <c r="G293" s="5">
        <v>54789</v>
      </c>
      <c r="H293" s="4" t="str">
        <f>""</f>
        <v/>
      </c>
      <c r="I293" s="4" t="str">
        <f>""</f>
        <v/>
      </c>
    </row>
    <row r="294" spans="1:9" x14ac:dyDescent="0.3">
      <c r="A294" s="1" t="str">
        <f>"13"</f>
        <v>13</v>
      </c>
      <c r="B294" s="4" t="str">
        <f>"SATRAM"</f>
        <v>SATRAM</v>
      </c>
      <c r="C294" s="4">
        <v>348483827</v>
      </c>
      <c r="D294" s="3" t="s">
        <v>0</v>
      </c>
      <c r="E294" s="2" t="str">
        <f>"PR1300041D"</f>
        <v>PR1300041D</v>
      </c>
      <c r="F294" s="5">
        <v>39608</v>
      </c>
      <c r="G294" s="5">
        <v>54789</v>
      </c>
      <c r="H294" s="4" t="str">
        <f>""</f>
        <v/>
      </c>
      <c r="I294" s="4" t="str">
        <f>""</f>
        <v/>
      </c>
    </row>
    <row r="295" spans="1:9" x14ac:dyDescent="0.3">
      <c r="A295" s="1" t="str">
        <f>"13"</f>
        <v>13</v>
      </c>
      <c r="B295" s="4" t="str">
        <f>"SATRAM"</f>
        <v>SATRAM</v>
      </c>
      <c r="C295" s="4">
        <v>348483827</v>
      </c>
      <c r="D295" s="3" t="s">
        <v>0</v>
      </c>
      <c r="E295" s="2" t="str">
        <f>"0006400721"</f>
        <v>0006400721</v>
      </c>
      <c r="F295" s="5">
        <v>39608</v>
      </c>
      <c r="G295" s="5">
        <v>54789</v>
      </c>
      <c r="H295" s="4" t="str">
        <f>""</f>
        <v/>
      </c>
      <c r="I295" s="4" t="str">
        <f>""</f>
        <v/>
      </c>
    </row>
    <row r="296" spans="1:9" x14ac:dyDescent="0.3">
      <c r="A296" s="1" t="str">
        <f>"13"</f>
        <v>13</v>
      </c>
      <c r="B296" s="4" t="str">
        <f>"SARL EUROPIECES"</f>
        <v>SARL EUROPIECES</v>
      </c>
      <c r="C296" s="4">
        <v>351790860</v>
      </c>
      <c r="D296" s="3" t="s">
        <v>0</v>
      </c>
      <c r="E296" s="2" t="str">
        <f>"PR1300013D"</f>
        <v>PR1300013D</v>
      </c>
      <c r="F296" s="5">
        <v>38960</v>
      </c>
      <c r="G296" s="5">
        <v>54789</v>
      </c>
      <c r="H296" s="4" t="str">
        <f>""</f>
        <v/>
      </c>
      <c r="I296" s="4" t="str">
        <f>""</f>
        <v/>
      </c>
    </row>
    <row r="297" spans="1:9" x14ac:dyDescent="0.3">
      <c r="A297" s="1" t="str">
        <f>"13"</f>
        <v>13</v>
      </c>
      <c r="B297" s="4" t="str">
        <f>"SARL EUROPIECES"</f>
        <v>SARL EUROPIECES</v>
      </c>
      <c r="C297" s="4">
        <v>351790860</v>
      </c>
      <c r="D297" s="3" t="s">
        <v>0</v>
      </c>
      <c r="E297" s="2" t="str">
        <f>"0006401030"</f>
        <v>0006401030</v>
      </c>
      <c r="F297" s="5">
        <v>38960</v>
      </c>
      <c r="G297" s="5">
        <v>54789</v>
      </c>
      <c r="H297" s="4" t="str">
        <f>""</f>
        <v/>
      </c>
      <c r="I297" s="4" t="str">
        <f>""</f>
        <v/>
      </c>
    </row>
    <row r="298" spans="1:9" x14ac:dyDescent="0.3">
      <c r="A298" s="1" t="str">
        <f>"13"</f>
        <v>13</v>
      </c>
      <c r="B298" s="4" t="str">
        <f>"DS RECYCLAGE"</f>
        <v>DS RECYCLAGE</v>
      </c>
      <c r="C298" s="4">
        <v>378011217</v>
      </c>
      <c r="D298" s="3" t="s">
        <v>0</v>
      </c>
      <c r="E298" s="2" t="str">
        <f>"PR1300052D"</f>
        <v>PR1300052D</v>
      </c>
      <c r="F298" s="5">
        <v>41618</v>
      </c>
      <c r="G298" s="5">
        <v>54789</v>
      </c>
      <c r="H298" s="4" t="str">
        <f>""</f>
        <v/>
      </c>
      <c r="I298" s="4" t="str">
        <f>""</f>
        <v/>
      </c>
    </row>
    <row r="299" spans="1:9" x14ac:dyDescent="0.3">
      <c r="A299" s="1" t="str">
        <f>"13"</f>
        <v>13</v>
      </c>
      <c r="B299" s="4" t="str">
        <f>"DS RECYCLAGE"</f>
        <v>DS RECYCLAGE</v>
      </c>
      <c r="C299" s="4">
        <v>378011217</v>
      </c>
      <c r="D299" s="3" t="s">
        <v>0</v>
      </c>
      <c r="E299" s="2" t="str">
        <f>"0006410812"</f>
        <v>0006410812</v>
      </c>
      <c r="F299" s="5">
        <v>41618</v>
      </c>
      <c r="G299" s="5">
        <v>54789</v>
      </c>
      <c r="H299" s="4" t="str">
        <f>""</f>
        <v/>
      </c>
      <c r="I299" s="4" t="str">
        <f>""</f>
        <v/>
      </c>
    </row>
    <row r="300" spans="1:9" x14ac:dyDescent="0.3">
      <c r="A300" s="1" t="str">
        <f>"13"</f>
        <v>13</v>
      </c>
      <c r="B300" s="4" t="str">
        <f>"LPC AUTO"</f>
        <v>LPC AUTO</v>
      </c>
      <c r="C300" s="4">
        <v>378160832</v>
      </c>
      <c r="D300" s="3" t="s">
        <v>0</v>
      </c>
      <c r="E300" s="2" t="str">
        <f>"0006400759"</f>
        <v>0006400759</v>
      </c>
      <c r="F300" s="5">
        <v>38870</v>
      </c>
      <c r="G300" s="5">
        <v>54789</v>
      </c>
      <c r="H300" s="4" t="str">
        <f>""</f>
        <v/>
      </c>
      <c r="I300" s="4" t="str">
        <f>""</f>
        <v/>
      </c>
    </row>
    <row r="301" spans="1:9" x14ac:dyDescent="0.3">
      <c r="A301" s="1" t="str">
        <f>"13"</f>
        <v>13</v>
      </c>
      <c r="B301" s="4" t="str">
        <f>"LPC AUTO"</f>
        <v>LPC AUTO</v>
      </c>
      <c r="C301" s="4">
        <v>378160832</v>
      </c>
      <c r="D301" s="3" t="s">
        <v>0</v>
      </c>
      <c r="E301" s="2" t="str">
        <f>"PR1300014D"</f>
        <v>PR1300014D</v>
      </c>
      <c r="F301" s="5">
        <v>38870</v>
      </c>
      <c r="G301" s="5">
        <v>54789</v>
      </c>
      <c r="H301" s="4" t="str">
        <f>""</f>
        <v/>
      </c>
      <c r="I301" s="4" t="str">
        <f>""</f>
        <v/>
      </c>
    </row>
    <row r="302" spans="1:9" x14ac:dyDescent="0.3">
      <c r="A302" s="1" t="str">
        <f>"13"</f>
        <v>13</v>
      </c>
      <c r="B302" s="4" t="str">
        <f>"BERARD"</f>
        <v>BERARD</v>
      </c>
      <c r="C302" s="4">
        <v>384362299</v>
      </c>
      <c r="D302" s="3" t="s">
        <v>0</v>
      </c>
      <c r="E302" s="2" t="str">
        <f>"PR1300015D"</f>
        <v>PR1300015D</v>
      </c>
      <c r="F302" s="5">
        <v>38888</v>
      </c>
      <c r="G302" s="5">
        <v>54789</v>
      </c>
      <c r="H302" s="4" t="str">
        <f>""</f>
        <v/>
      </c>
      <c r="I302" s="4" t="str">
        <f>""</f>
        <v/>
      </c>
    </row>
    <row r="303" spans="1:9" x14ac:dyDescent="0.3">
      <c r="A303" s="1" t="str">
        <f>"13"</f>
        <v>13</v>
      </c>
      <c r="B303" s="4" t="str">
        <f>"BERARD"</f>
        <v>BERARD</v>
      </c>
      <c r="C303" s="4">
        <v>384362299</v>
      </c>
      <c r="D303" s="3" t="s">
        <v>0</v>
      </c>
      <c r="E303" s="2" t="str">
        <f>"0006400976"</f>
        <v>0006400976</v>
      </c>
      <c r="F303" s="5">
        <v>38888</v>
      </c>
      <c r="G303" s="5">
        <v>54789</v>
      </c>
      <c r="H303" s="4" t="str">
        <f>""</f>
        <v/>
      </c>
      <c r="I303" s="4" t="str">
        <f>""</f>
        <v/>
      </c>
    </row>
    <row r="304" spans="1:9" x14ac:dyDescent="0.3">
      <c r="A304" s="1" t="str">
        <f>"13"</f>
        <v>13</v>
      </c>
      <c r="B304" s="4" t="str">
        <f>"ALLO EPAVE SERVICES"</f>
        <v>ALLO EPAVE SERVICES</v>
      </c>
      <c r="C304" s="4">
        <v>385076195</v>
      </c>
      <c r="D304" s="3" t="s">
        <v>0</v>
      </c>
      <c r="E304" s="2" t="str">
        <f>"PR1300002D"</f>
        <v>PR1300002D</v>
      </c>
      <c r="F304" s="5">
        <v>38912</v>
      </c>
      <c r="G304" s="5">
        <v>54789</v>
      </c>
      <c r="H304" s="4" t="str">
        <f>""</f>
        <v/>
      </c>
      <c r="I304" s="4" t="str">
        <f>""</f>
        <v/>
      </c>
    </row>
    <row r="305" spans="1:9" x14ac:dyDescent="0.3">
      <c r="A305" s="1" t="str">
        <f>"13"</f>
        <v>13</v>
      </c>
      <c r="B305" s="4" t="str">
        <f>"ALLO EPAVE SERVICES"</f>
        <v>ALLO EPAVE SERVICES</v>
      </c>
      <c r="C305" s="4">
        <v>385076195</v>
      </c>
      <c r="D305" s="3" t="s">
        <v>0</v>
      </c>
      <c r="E305" s="2" t="str">
        <f>"0006400558"</f>
        <v>0006400558</v>
      </c>
      <c r="F305" s="5">
        <v>38912</v>
      </c>
      <c r="G305" s="5">
        <v>54789</v>
      </c>
      <c r="H305" s="4" t="str">
        <f>""</f>
        <v/>
      </c>
      <c r="I305" s="4" t="str">
        <f>""</f>
        <v/>
      </c>
    </row>
    <row r="306" spans="1:9" x14ac:dyDescent="0.3">
      <c r="A306" s="1" t="str">
        <f>"13"</f>
        <v>13</v>
      </c>
      <c r="B306" s="4" t="str">
        <f>"PRO FER MET"</f>
        <v>PRO FER MET</v>
      </c>
      <c r="C306" s="4">
        <v>385161906</v>
      </c>
      <c r="D306" s="3" t="s">
        <v>0</v>
      </c>
      <c r="E306" s="2" t="str">
        <f>"0006412095"</f>
        <v>0006412095</v>
      </c>
      <c r="F306" s="5">
        <v>43641</v>
      </c>
      <c r="G306" s="5">
        <v>54789</v>
      </c>
      <c r="H306" s="4" t="str">
        <f>""</f>
        <v/>
      </c>
      <c r="I306" s="4" t="str">
        <f>""</f>
        <v/>
      </c>
    </row>
    <row r="307" spans="1:9" x14ac:dyDescent="0.3">
      <c r="A307" s="1" t="str">
        <f>"13"</f>
        <v>13</v>
      </c>
      <c r="B307" s="4" t="str">
        <f>"PRO FER MET"</f>
        <v>PRO FER MET</v>
      </c>
      <c r="C307" s="4">
        <v>385161906</v>
      </c>
      <c r="D307" s="3" t="s">
        <v>0</v>
      </c>
      <c r="E307" s="2" t="str">
        <f>"PR1300056D"</f>
        <v>PR1300056D</v>
      </c>
      <c r="F307" s="5">
        <v>43641</v>
      </c>
      <c r="G307" s="5">
        <v>54789</v>
      </c>
      <c r="H307" s="4" t="str">
        <f>""</f>
        <v/>
      </c>
      <c r="I307" s="4" t="str">
        <f>""</f>
        <v/>
      </c>
    </row>
    <row r="308" spans="1:9" x14ac:dyDescent="0.3">
      <c r="A308" s="1" t="str">
        <f>"13"</f>
        <v>13</v>
      </c>
      <c r="B308" s="4" t="str">
        <f>"PROVENCE MOTO CASSE"</f>
        <v>PROVENCE MOTO CASSE</v>
      </c>
      <c r="C308" s="4">
        <v>390115442</v>
      </c>
      <c r="D308" s="3" t="s">
        <v>0</v>
      </c>
      <c r="E308" s="2" t="str">
        <f>"PR1300048D"</f>
        <v>PR1300048D</v>
      </c>
      <c r="F308" s="5">
        <v>40245</v>
      </c>
      <c r="G308" s="5">
        <v>54789</v>
      </c>
      <c r="H308" s="4" t="str">
        <f>""</f>
        <v/>
      </c>
      <c r="I308" s="4" t="str">
        <f>""</f>
        <v/>
      </c>
    </row>
    <row r="309" spans="1:9" x14ac:dyDescent="0.3">
      <c r="A309" s="1" t="str">
        <f>"13"</f>
        <v>13</v>
      </c>
      <c r="B309" s="4" t="str">
        <f>"PROVENCE MOTO CASSE"</f>
        <v>PROVENCE MOTO CASSE</v>
      </c>
      <c r="C309" s="4">
        <v>390115442</v>
      </c>
      <c r="D309" s="3" t="s">
        <v>0</v>
      </c>
      <c r="E309" s="2" t="str">
        <f>"0006403729"</f>
        <v>0006403729</v>
      </c>
      <c r="F309" s="5">
        <v>40245</v>
      </c>
      <c r="G309" s="5">
        <v>54789</v>
      </c>
      <c r="H309" s="4" t="str">
        <f>""</f>
        <v/>
      </c>
      <c r="I309" s="4" t="str">
        <f>""</f>
        <v/>
      </c>
    </row>
    <row r="310" spans="1:9" x14ac:dyDescent="0.3">
      <c r="A310" s="1" t="str">
        <f>"13"</f>
        <v>13</v>
      </c>
      <c r="B310" s="4" t="str">
        <f>"SOCIETE NOUVELLE AUTO STOCK 113"</f>
        <v>SOCIETE NOUVELLE AUTO STOCK 113</v>
      </c>
      <c r="C310" s="4">
        <v>392803037</v>
      </c>
      <c r="D310" s="3" t="s">
        <v>0</v>
      </c>
      <c r="E310" s="2" t="str">
        <f>"PR1300053D"</f>
        <v>PR1300053D</v>
      </c>
      <c r="F310" s="5">
        <v>41715</v>
      </c>
      <c r="G310" s="5">
        <v>54789</v>
      </c>
      <c r="H310" s="4" t="str">
        <f>""</f>
        <v/>
      </c>
      <c r="I310" s="4" t="str">
        <f>""</f>
        <v/>
      </c>
    </row>
    <row r="311" spans="1:9" x14ac:dyDescent="0.3">
      <c r="A311" s="1" t="str">
        <f>"13"</f>
        <v>13</v>
      </c>
      <c r="B311" s="4" t="str">
        <f>"SOCIETE NOUVELLE AUTO STOCK 113"</f>
        <v>SOCIETE NOUVELLE AUTO STOCK 113</v>
      </c>
      <c r="C311" s="4">
        <v>392803037</v>
      </c>
      <c r="D311" s="3" t="s">
        <v>0</v>
      </c>
      <c r="E311" s="2" t="str">
        <f>"0006405442"</f>
        <v>0006405442</v>
      </c>
      <c r="F311" s="5">
        <v>41715</v>
      </c>
      <c r="G311" s="5">
        <v>54789</v>
      </c>
      <c r="H311" s="4" t="str">
        <f>""</f>
        <v/>
      </c>
      <c r="I311" s="4" t="str">
        <f>""</f>
        <v/>
      </c>
    </row>
    <row r="312" spans="1:9" x14ac:dyDescent="0.3">
      <c r="A312" s="1" t="str">
        <f>"13"</f>
        <v>13</v>
      </c>
      <c r="B312" s="4" t="str">
        <f>"PIOMBO FER ET METAUX SE"</f>
        <v>PIOMBO FER ET METAUX SE</v>
      </c>
      <c r="C312" s="4">
        <v>400070058</v>
      </c>
      <c r="D312" s="3" t="s">
        <v>0</v>
      </c>
      <c r="E312" s="2" t="str">
        <f>"PR1300027D"</f>
        <v>PR1300027D</v>
      </c>
      <c r="F312" s="5">
        <v>39833</v>
      </c>
      <c r="G312" s="5">
        <v>54789</v>
      </c>
      <c r="H312" s="4" t="str">
        <f>""</f>
        <v/>
      </c>
      <c r="I312" s="4" t="str">
        <f>""</f>
        <v/>
      </c>
    </row>
    <row r="313" spans="1:9" x14ac:dyDescent="0.3">
      <c r="A313" s="1" t="str">
        <f>"13"</f>
        <v>13</v>
      </c>
      <c r="B313" s="4" t="str">
        <f>"PIOMBO FER ET METAUX SE"</f>
        <v>PIOMBO FER ET METAUX SE</v>
      </c>
      <c r="C313" s="4">
        <v>400070058</v>
      </c>
      <c r="D313" s="3" t="s">
        <v>0</v>
      </c>
      <c r="E313" s="2" t="str">
        <f>"0006402198"</f>
        <v>0006402198</v>
      </c>
      <c r="F313" s="5">
        <v>39833</v>
      </c>
      <c r="G313" s="5">
        <v>54789</v>
      </c>
      <c r="H313" s="4" t="str">
        <f>""</f>
        <v/>
      </c>
      <c r="I313" s="4" t="str">
        <f>""</f>
        <v/>
      </c>
    </row>
    <row r="314" spans="1:9" x14ac:dyDescent="0.3">
      <c r="A314" s="1" t="str">
        <f>"13"</f>
        <v>13</v>
      </c>
      <c r="B314" s="4" t="str">
        <f>"AUTOCRAC"</f>
        <v>AUTOCRAC</v>
      </c>
      <c r="C314" s="4">
        <v>408365690</v>
      </c>
      <c r="D314" s="3" t="s">
        <v>0</v>
      </c>
      <c r="E314" s="2" t="str">
        <f>"PR1300012D"</f>
        <v>PR1300012D</v>
      </c>
      <c r="F314" s="5">
        <v>38960</v>
      </c>
      <c r="G314" s="5">
        <v>54789</v>
      </c>
      <c r="H314" s="4" t="str">
        <f>""</f>
        <v/>
      </c>
      <c r="I314" s="4" t="str">
        <f>""</f>
        <v/>
      </c>
    </row>
    <row r="315" spans="1:9" x14ac:dyDescent="0.3">
      <c r="A315" s="1" t="str">
        <f>"13"</f>
        <v>13</v>
      </c>
      <c r="B315" s="4" t="str">
        <f>"AUTOCRAC"</f>
        <v>AUTOCRAC</v>
      </c>
      <c r="C315" s="4">
        <v>408365690</v>
      </c>
      <c r="D315" s="3" t="s">
        <v>0</v>
      </c>
      <c r="E315" s="2" t="str">
        <f>"0006400034"</f>
        <v>0006400034</v>
      </c>
      <c r="F315" s="5">
        <v>38960</v>
      </c>
      <c r="G315" s="5">
        <v>54789</v>
      </c>
      <c r="H315" s="4" t="str">
        <f>""</f>
        <v/>
      </c>
      <c r="I315" s="4" t="str">
        <f>""</f>
        <v/>
      </c>
    </row>
    <row r="316" spans="1:9" x14ac:dyDescent="0.3">
      <c r="A316" s="1" t="str">
        <f>"13"</f>
        <v>13</v>
      </c>
      <c r="B316" s="4" t="str">
        <f>"EURL PIECES AUTOS FIFI TURIN"</f>
        <v>EURL PIECES AUTOS FIFI TURIN</v>
      </c>
      <c r="C316" s="4">
        <v>411842487</v>
      </c>
      <c r="D316" s="3" t="s">
        <v>0</v>
      </c>
      <c r="E316" s="2" t="str">
        <f>"PR1300023D"</f>
        <v>PR1300023D</v>
      </c>
      <c r="F316" s="5">
        <v>39094</v>
      </c>
      <c r="G316" s="5">
        <v>54789</v>
      </c>
      <c r="H316" s="4" t="str">
        <f>""</f>
        <v/>
      </c>
      <c r="I316" s="4" t="str">
        <f>""</f>
        <v/>
      </c>
    </row>
    <row r="317" spans="1:9" x14ac:dyDescent="0.3">
      <c r="A317" s="1" t="str">
        <f>"13"</f>
        <v>13</v>
      </c>
      <c r="B317" s="4" t="str">
        <f>"EURL PIECES AUTOS FIFI TURIN"</f>
        <v>EURL PIECES AUTOS FIFI TURIN</v>
      </c>
      <c r="C317" s="4">
        <v>411842487</v>
      </c>
      <c r="D317" s="3" t="s">
        <v>0</v>
      </c>
      <c r="E317" s="2" t="str">
        <f>"0006402654"</f>
        <v>0006402654</v>
      </c>
      <c r="F317" s="5">
        <v>39094</v>
      </c>
      <c r="G317" s="5">
        <v>54789</v>
      </c>
      <c r="H317" s="4" t="str">
        <f>""</f>
        <v/>
      </c>
      <c r="I317" s="4" t="str">
        <f>""</f>
        <v/>
      </c>
    </row>
    <row r="318" spans="1:9" x14ac:dyDescent="0.3">
      <c r="A318" s="1" t="str">
        <f>"13"</f>
        <v>13</v>
      </c>
      <c r="B318" s="4" t="str">
        <f>"MEDITERRANEE PIECES AUTOS"</f>
        <v>MEDITERRANEE PIECES AUTOS</v>
      </c>
      <c r="C318" s="4">
        <v>413820143</v>
      </c>
      <c r="D318" s="3" t="s">
        <v>0</v>
      </c>
      <c r="E318" s="2" t="str">
        <f>"0006400604"</f>
        <v>0006400604</v>
      </c>
      <c r="F318" s="5">
        <v>39114</v>
      </c>
      <c r="G318" s="5">
        <v>54789</v>
      </c>
      <c r="H318" s="4" t="str">
        <f>""</f>
        <v/>
      </c>
      <c r="I318" s="4" t="str">
        <f>""</f>
        <v/>
      </c>
    </row>
    <row r="319" spans="1:9" x14ac:dyDescent="0.3">
      <c r="A319" s="1" t="str">
        <f>"13"</f>
        <v>13</v>
      </c>
      <c r="B319" s="4" t="str">
        <f>"MEDITERRANEE PIECES AUTOS"</f>
        <v>MEDITERRANEE PIECES AUTOS</v>
      </c>
      <c r="C319" s="4">
        <v>413820143</v>
      </c>
      <c r="D319" s="3" t="s">
        <v>0</v>
      </c>
      <c r="E319" s="2" t="str">
        <f>"PR1300029D"</f>
        <v>PR1300029D</v>
      </c>
      <c r="F319" s="5">
        <v>39114</v>
      </c>
      <c r="G319" s="5">
        <v>54789</v>
      </c>
      <c r="H319" s="4" t="str">
        <f>""</f>
        <v/>
      </c>
      <c r="I319" s="4" t="str">
        <f>""</f>
        <v/>
      </c>
    </row>
    <row r="320" spans="1:9" x14ac:dyDescent="0.3">
      <c r="A320" s="1" t="str">
        <f>"13"</f>
        <v>13</v>
      </c>
      <c r="B320" s="4" t="str">
        <f>"PROFUN 4X4"</f>
        <v>PROFUN 4X4</v>
      </c>
      <c r="C320" s="4">
        <v>417504594</v>
      </c>
      <c r="D320" s="3" t="s">
        <v>0</v>
      </c>
      <c r="E320" s="2" t="str">
        <f>"0006406618"</f>
        <v>0006406618</v>
      </c>
      <c r="F320" s="5">
        <v>39566</v>
      </c>
      <c r="G320" s="5">
        <v>54789</v>
      </c>
      <c r="H320" s="4" t="str">
        <f>""</f>
        <v/>
      </c>
      <c r="I320" s="4" t="str">
        <f>""</f>
        <v/>
      </c>
    </row>
    <row r="321" spans="1:9" x14ac:dyDescent="0.3">
      <c r="A321" s="1" t="str">
        <f>"13"</f>
        <v>13</v>
      </c>
      <c r="B321" s="4" t="str">
        <f>"PROFUN 4X4"</f>
        <v>PROFUN 4X4</v>
      </c>
      <c r="C321" s="4">
        <v>417504594</v>
      </c>
      <c r="D321" s="3" t="s">
        <v>0</v>
      </c>
      <c r="E321" s="2" t="str">
        <f>"PR1300043D"</f>
        <v>PR1300043D</v>
      </c>
      <c r="F321" s="5">
        <v>39566</v>
      </c>
      <c r="G321" s="5">
        <v>54789</v>
      </c>
      <c r="H321" s="4" t="str">
        <f>""</f>
        <v/>
      </c>
      <c r="I321" s="4" t="str">
        <f>""</f>
        <v/>
      </c>
    </row>
    <row r="322" spans="1:9" x14ac:dyDescent="0.3">
      <c r="A322" s="1" t="str">
        <f>"13"</f>
        <v>13</v>
      </c>
      <c r="B322" s="4" t="str">
        <f>"DB AUTO ASSOCIES"</f>
        <v>DB AUTO ASSOCIES</v>
      </c>
      <c r="C322" s="4">
        <v>434397923</v>
      </c>
      <c r="D322" s="3" t="s">
        <v>0</v>
      </c>
      <c r="E322" s="2" t="str">
        <f>"0006406810"</f>
        <v>0006406810</v>
      </c>
      <c r="F322" s="5">
        <v>39786</v>
      </c>
      <c r="G322" s="5">
        <v>54789</v>
      </c>
      <c r="H322" s="4" t="str">
        <f>""</f>
        <v/>
      </c>
      <c r="I322" s="4" t="str">
        <f>""</f>
        <v/>
      </c>
    </row>
    <row r="323" spans="1:9" x14ac:dyDescent="0.3">
      <c r="A323" s="1" t="str">
        <f>"13"</f>
        <v>13</v>
      </c>
      <c r="B323" s="4" t="str">
        <f>"DB AUTO ASSOCIES"</f>
        <v>DB AUTO ASSOCIES</v>
      </c>
      <c r="C323" s="4">
        <v>434397923</v>
      </c>
      <c r="D323" s="3" t="s">
        <v>0</v>
      </c>
      <c r="E323" s="2" t="str">
        <f>"PR1300044D"</f>
        <v>PR1300044D</v>
      </c>
      <c r="F323" s="5">
        <v>39786</v>
      </c>
      <c r="G323" s="5">
        <v>54789</v>
      </c>
      <c r="H323" s="4" t="str">
        <f>""</f>
        <v/>
      </c>
      <c r="I323" s="4" t="str">
        <f>""</f>
        <v/>
      </c>
    </row>
    <row r="324" spans="1:9" x14ac:dyDescent="0.3">
      <c r="A324" s="1" t="str">
        <f>"13"</f>
        <v>13</v>
      </c>
      <c r="B324" s="4" t="str">
        <f>"JOSEPH DESIRA"</f>
        <v>JOSEPH DESIRA</v>
      </c>
      <c r="C324" s="4">
        <v>434510616</v>
      </c>
      <c r="D324" s="3" t="s">
        <v>0</v>
      </c>
      <c r="E324" s="2" t="str">
        <f>"PR1300068D"</f>
        <v>PR1300068D</v>
      </c>
      <c r="F324" s="5">
        <v>44965</v>
      </c>
      <c r="G324" s="5">
        <v>54789</v>
      </c>
      <c r="H324" s="4" t="str">
        <f>""</f>
        <v/>
      </c>
      <c r="I324" s="4" t="str">
        <f>""</f>
        <v/>
      </c>
    </row>
    <row r="325" spans="1:9" x14ac:dyDescent="0.3">
      <c r="A325" s="1" t="str">
        <f>"13"</f>
        <v>13</v>
      </c>
      <c r="B325" s="4" t="str">
        <f>"JOSEPH DESIRA"</f>
        <v>JOSEPH DESIRA</v>
      </c>
      <c r="C325" s="4">
        <v>434510616</v>
      </c>
      <c r="D325" s="3" t="s">
        <v>0</v>
      </c>
      <c r="E325" s="2" t="str">
        <f>"0006402531"</f>
        <v>0006402531</v>
      </c>
      <c r="F325" s="5">
        <v>44965</v>
      </c>
      <c r="G325" s="5">
        <v>54789</v>
      </c>
      <c r="H325" s="4" t="str">
        <f>""</f>
        <v/>
      </c>
      <c r="I325" s="4" t="str">
        <f>""</f>
        <v/>
      </c>
    </row>
    <row r="326" spans="1:9" x14ac:dyDescent="0.3">
      <c r="A326" s="1" t="str">
        <f>"13"</f>
        <v>13</v>
      </c>
      <c r="B326" s="4" t="str">
        <f>"G.AUTO PIECES"</f>
        <v>G.AUTO PIECES</v>
      </c>
      <c r="C326" s="4">
        <v>441151388</v>
      </c>
      <c r="D326" s="3" t="s">
        <v>0</v>
      </c>
      <c r="E326" s="2" t="str">
        <f>"PR1300069D"</f>
        <v>PR1300069D</v>
      </c>
      <c r="F326" s="5">
        <v>45338</v>
      </c>
      <c r="G326" s="5">
        <v>54789</v>
      </c>
      <c r="H326" s="4" t="str">
        <f>""</f>
        <v/>
      </c>
      <c r="I326" s="4" t="str">
        <f>""</f>
        <v/>
      </c>
    </row>
    <row r="327" spans="1:9" x14ac:dyDescent="0.3">
      <c r="A327" s="1" t="str">
        <f>"13"</f>
        <v>13</v>
      </c>
      <c r="B327" s="4" t="str">
        <f>"G.AUTO PIECES"</f>
        <v>G.AUTO PIECES</v>
      </c>
      <c r="C327" s="4">
        <v>441151388</v>
      </c>
      <c r="D327" s="3" t="s">
        <v>0</v>
      </c>
      <c r="E327" s="2" t="str">
        <f>"0006413241"</f>
        <v>0006413241</v>
      </c>
      <c r="F327" s="5">
        <v>45338</v>
      </c>
      <c r="G327" s="5">
        <v>54789</v>
      </c>
      <c r="H327" s="4" t="str">
        <f>""</f>
        <v/>
      </c>
      <c r="I327" s="4" t="str">
        <f>""</f>
        <v/>
      </c>
    </row>
    <row r="328" spans="1:9" x14ac:dyDescent="0.3">
      <c r="A328" s="1" t="str">
        <f>"13"</f>
        <v>13</v>
      </c>
      <c r="B328" s="4" t="str">
        <f>"SURPLUS MARSEILLE"</f>
        <v>SURPLUS MARSEILLE</v>
      </c>
      <c r="C328" s="4">
        <v>444411292</v>
      </c>
      <c r="D328" s="3" t="s">
        <v>0</v>
      </c>
      <c r="E328" s="2" t="str">
        <f>"PR1300010D"</f>
        <v>PR1300010D</v>
      </c>
      <c r="F328" s="5">
        <v>39182</v>
      </c>
      <c r="G328" s="5">
        <v>54789</v>
      </c>
      <c r="H328" s="4" t="str">
        <f>""</f>
        <v/>
      </c>
      <c r="I328" s="4" t="str">
        <f>""</f>
        <v/>
      </c>
    </row>
    <row r="329" spans="1:9" x14ac:dyDescent="0.3">
      <c r="A329" s="1" t="str">
        <f>"13"</f>
        <v>13</v>
      </c>
      <c r="B329" s="4" t="str">
        <f>"SURPLUS MARSEILLE"</f>
        <v>SURPLUS MARSEILLE</v>
      </c>
      <c r="C329" s="4">
        <v>444411292</v>
      </c>
      <c r="D329" s="3" t="s">
        <v>0</v>
      </c>
      <c r="E329" s="2" t="str">
        <f>"0006405436"</f>
        <v>0006405436</v>
      </c>
      <c r="F329" s="5">
        <v>39182</v>
      </c>
      <c r="G329" s="5">
        <v>54789</v>
      </c>
      <c r="H329" s="4" t="str">
        <f>""</f>
        <v/>
      </c>
      <c r="I329" s="4" t="str">
        <f>""</f>
        <v/>
      </c>
    </row>
    <row r="330" spans="1:9" x14ac:dyDescent="0.3">
      <c r="A330" s="1" t="str">
        <f>"13"</f>
        <v>13</v>
      </c>
      <c r="B330" s="4" t="str">
        <f>"CEDRIC PIECES AUTOS"</f>
        <v>CEDRIC PIECES AUTOS</v>
      </c>
      <c r="C330" s="4">
        <v>477655450</v>
      </c>
      <c r="D330" s="3" t="s">
        <v>0</v>
      </c>
      <c r="E330" s="2" t="str">
        <f>"PR13000058D"</f>
        <v>PR13000058D</v>
      </c>
      <c r="F330" s="5">
        <v>42643</v>
      </c>
      <c r="G330" s="5">
        <v>54789</v>
      </c>
      <c r="H330" s="4" t="str">
        <f>""</f>
        <v/>
      </c>
      <c r="I330" s="4" t="str">
        <f>""</f>
        <v/>
      </c>
    </row>
    <row r="331" spans="1:9" x14ac:dyDescent="0.3">
      <c r="A331" s="1" t="str">
        <f>"13"</f>
        <v>13</v>
      </c>
      <c r="B331" s="4" t="str">
        <f>"CEDRIC PIECES AUTOS"</f>
        <v>CEDRIC PIECES AUTOS</v>
      </c>
      <c r="C331" s="4">
        <v>477655450</v>
      </c>
      <c r="D331" s="3" t="s">
        <v>0</v>
      </c>
      <c r="E331" s="2" t="str">
        <f>"0006411966"</f>
        <v>0006411966</v>
      </c>
      <c r="F331" s="5">
        <v>42643</v>
      </c>
      <c r="G331" s="5">
        <v>54789</v>
      </c>
      <c r="H331" s="4" t="str">
        <f>""</f>
        <v/>
      </c>
      <c r="I331" s="4" t="str">
        <f>""</f>
        <v/>
      </c>
    </row>
    <row r="332" spans="1:9" x14ac:dyDescent="0.3">
      <c r="A332" s="1" t="str">
        <f>"13"</f>
        <v>13</v>
      </c>
      <c r="B332" s="4" t="str">
        <f>"AUTOS SERVICES SEPTEMES"</f>
        <v>AUTOS SERVICES SEPTEMES</v>
      </c>
      <c r="C332" s="4">
        <v>488120049</v>
      </c>
      <c r="D332" s="3" t="s">
        <v>0</v>
      </c>
      <c r="E332" s="2" t="str">
        <f>"PR1300022D"</f>
        <v>PR1300022D</v>
      </c>
      <c r="F332" s="5">
        <v>39063</v>
      </c>
      <c r="G332" s="5">
        <v>54789</v>
      </c>
      <c r="H332" s="4" t="str">
        <f>""</f>
        <v/>
      </c>
      <c r="I332" s="4" t="str">
        <f>""</f>
        <v/>
      </c>
    </row>
    <row r="333" spans="1:9" x14ac:dyDescent="0.3">
      <c r="A333" s="1" t="str">
        <f>"13"</f>
        <v>13</v>
      </c>
      <c r="B333" s="4" t="str">
        <f>"AUTOS SERVICES SEPTEMES"</f>
        <v>AUTOS SERVICES SEPTEMES</v>
      </c>
      <c r="C333" s="4">
        <v>488120049</v>
      </c>
      <c r="D333" s="3" t="s">
        <v>0</v>
      </c>
      <c r="E333" s="2" t="str">
        <f>"0006400612"</f>
        <v>0006400612</v>
      </c>
      <c r="F333" s="5">
        <v>39063</v>
      </c>
      <c r="G333" s="5">
        <v>54789</v>
      </c>
      <c r="H333" s="4" t="str">
        <f>""</f>
        <v/>
      </c>
      <c r="I333" s="4" t="str">
        <f>""</f>
        <v/>
      </c>
    </row>
    <row r="334" spans="1:9" x14ac:dyDescent="0.3">
      <c r="A334" s="1" t="str">
        <f>"13"</f>
        <v>13</v>
      </c>
      <c r="B334" s="4" t="str">
        <f>"SARL AUTO CASSE GIGNAC"</f>
        <v>SARL AUTO CASSE GIGNAC</v>
      </c>
      <c r="C334" s="4">
        <v>498136522</v>
      </c>
      <c r="D334" s="3" t="s">
        <v>0</v>
      </c>
      <c r="E334" s="2" t="str">
        <f>"PR1300038D"</f>
        <v>PR1300038D</v>
      </c>
      <c r="F334" s="5">
        <v>39192</v>
      </c>
      <c r="G334" s="5">
        <v>54789</v>
      </c>
      <c r="H334" s="4" t="str">
        <f>""</f>
        <v/>
      </c>
      <c r="I334" s="4" t="str">
        <f>""</f>
        <v/>
      </c>
    </row>
    <row r="335" spans="1:9" x14ac:dyDescent="0.3">
      <c r="A335" s="1" t="str">
        <f>"13"</f>
        <v>13</v>
      </c>
      <c r="B335" s="4" t="str">
        <f>"SARL AUTO CASSE GIGNAC"</f>
        <v>SARL AUTO CASSE GIGNAC</v>
      </c>
      <c r="C335" s="4">
        <v>498136522</v>
      </c>
      <c r="D335" s="3" t="s">
        <v>0</v>
      </c>
      <c r="E335" s="2" t="str">
        <f>"0006400953"</f>
        <v>0006400953</v>
      </c>
      <c r="F335" s="5">
        <v>39192</v>
      </c>
      <c r="G335" s="5">
        <v>54789</v>
      </c>
      <c r="H335" s="4" t="str">
        <f>""</f>
        <v/>
      </c>
      <c r="I335" s="4" t="str">
        <f>""</f>
        <v/>
      </c>
    </row>
    <row r="336" spans="1:9" x14ac:dyDescent="0.3">
      <c r="A336" s="1" t="str">
        <f>"13"</f>
        <v>13</v>
      </c>
      <c r="B336" s="4" t="str">
        <f>"FULVIO MOTO"</f>
        <v>FULVIO MOTO</v>
      </c>
      <c r="C336" s="4">
        <v>502880669</v>
      </c>
      <c r="D336" s="3" t="s">
        <v>0</v>
      </c>
      <c r="E336" s="2" t="str">
        <f>"0006412845"</f>
        <v>0006412845</v>
      </c>
      <c r="F336" s="5">
        <v>43035</v>
      </c>
      <c r="G336" s="5">
        <v>54789</v>
      </c>
      <c r="H336" s="4" t="str">
        <f>""</f>
        <v/>
      </c>
      <c r="I336" s="4" t="str">
        <f>""</f>
        <v/>
      </c>
    </row>
    <row r="337" spans="1:9" x14ac:dyDescent="0.3">
      <c r="A337" s="1" t="str">
        <f>"13"</f>
        <v>13</v>
      </c>
      <c r="B337" s="4" t="str">
        <f>"FULVIO MOTO"</f>
        <v>FULVIO MOTO</v>
      </c>
      <c r="C337" s="4">
        <v>502880669</v>
      </c>
      <c r="D337" s="3" t="s">
        <v>0</v>
      </c>
      <c r="E337" s="2" t="str">
        <f>"PR1300063D"</f>
        <v>PR1300063D</v>
      </c>
      <c r="F337" s="5">
        <v>43035</v>
      </c>
      <c r="G337" s="5">
        <v>54789</v>
      </c>
      <c r="H337" s="4" t="str">
        <f>""</f>
        <v/>
      </c>
      <c r="I337" s="4" t="str">
        <f>""</f>
        <v/>
      </c>
    </row>
    <row r="338" spans="1:9" x14ac:dyDescent="0.3">
      <c r="A338" s="1" t="str">
        <f>"13"</f>
        <v>13</v>
      </c>
      <c r="B338" s="4" t="str">
        <f>"LA PIECE AUTOMOBILE 13"</f>
        <v>LA PIECE AUTOMOBILE 13</v>
      </c>
      <c r="C338" s="4">
        <v>518861422</v>
      </c>
      <c r="D338" s="3" t="s">
        <v>0</v>
      </c>
      <c r="E338" s="2" t="str">
        <f>"0006402297"</f>
        <v>0006402297</v>
      </c>
      <c r="F338" s="5">
        <v>44309</v>
      </c>
      <c r="G338" s="5">
        <v>54789</v>
      </c>
      <c r="H338" s="4" t="str">
        <f>""</f>
        <v/>
      </c>
      <c r="I338" s="4" t="str">
        <f>""</f>
        <v/>
      </c>
    </row>
    <row r="339" spans="1:9" x14ac:dyDescent="0.3">
      <c r="A339" s="1" t="str">
        <f>"13"</f>
        <v>13</v>
      </c>
      <c r="B339" s="4" t="str">
        <f>"LA PIECE AUTOMOBILE 13"</f>
        <v>LA PIECE AUTOMOBILE 13</v>
      </c>
      <c r="C339" s="4">
        <v>518861422</v>
      </c>
      <c r="D339" s="3" t="s">
        <v>0</v>
      </c>
      <c r="E339" s="2" t="str">
        <f>"PR1300045D"</f>
        <v>PR1300045D</v>
      </c>
      <c r="F339" s="5">
        <v>44309</v>
      </c>
      <c r="G339" s="5">
        <v>54789</v>
      </c>
      <c r="H339" s="4" t="str">
        <f>""</f>
        <v/>
      </c>
      <c r="I339" s="4" t="str">
        <f>""</f>
        <v/>
      </c>
    </row>
    <row r="340" spans="1:9" x14ac:dyDescent="0.3">
      <c r="A340" s="1" t="str">
        <f>"13"</f>
        <v>13</v>
      </c>
      <c r="B340" s="4" t="str">
        <f>"SAS VIERI SERGE"</f>
        <v>SAS VIERI SERGE</v>
      </c>
      <c r="C340" s="4">
        <v>524304961</v>
      </c>
      <c r="D340" s="3" t="s">
        <v>0</v>
      </c>
      <c r="E340" s="2" t="str">
        <f>"PR1300005D"</f>
        <v>PR1300005D</v>
      </c>
      <c r="F340" s="5">
        <v>38967</v>
      </c>
      <c r="G340" s="5">
        <v>54789</v>
      </c>
      <c r="H340" s="4" t="str">
        <f>""</f>
        <v/>
      </c>
      <c r="I340" s="4" t="str">
        <f>""</f>
        <v/>
      </c>
    </row>
    <row r="341" spans="1:9" x14ac:dyDescent="0.3">
      <c r="A341" s="1" t="str">
        <f>"13"</f>
        <v>13</v>
      </c>
      <c r="B341" s="4" t="str">
        <f>"SAS VIERI SERGE"</f>
        <v>SAS VIERI SERGE</v>
      </c>
      <c r="C341" s="4">
        <v>524304961</v>
      </c>
      <c r="D341" s="3" t="s">
        <v>0</v>
      </c>
      <c r="E341" s="2" t="str">
        <f>"0006400925"</f>
        <v>0006400925</v>
      </c>
      <c r="F341" s="5">
        <v>38967</v>
      </c>
      <c r="G341" s="5">
        <v>54789</v>
      </c>
      <c r="H341" s="4" t="str">
        <f>""</f>
        <v/>
      </c>
      <c r="I341" s="4" t="str">
        <f>""</f>
        <v/>
      </c>
    </row>
    <row r="342" spans="1:9" x14ac:dyDescent="0.3">
      <c r="A342" s="1" t="str">
        <f>"13"</f>
        <v>13</v>
      </c>
      <c r="B342" s="4" t="str">
        <f>"SAS VIERI SERGE"</f>
        <v>SAS VIERI SERGE</v>
      </c>
      <c r="C342" s="4">
        <v>524304961</v>
      </c>
      <c r="D342" s="3" t="s">
        <v>0</v>
      </c>
      <c r="E342" s="2" t="str">
        <f>"006400925"</f>
        <v>006400925</v>
      </c>
      <c r="F342" s="5">
        <v>38967</v>
      </c>
      <c r="G342" s="5">
        <v>54789</v>
      </c>
      <c r="H342" s="4" t="str">
        <f>""</f>
        <v/>
      </c>
      <c r="I342" s="4" t="str">
        <f>""</f>
        <v/>
      </c>
    </row>
    <row r="343" spans="1:9" x14ac:dyDescent="0.3">
      <c r="A343" s="1" t="str">
        <f>"13"</f>
        <v>13</v>
      </c>
      <c r="B343" s="4" t="str">
        <f>"MB RECYCLAGE"</f>
        <v>MB RECYCLAGE</v>
      </c>
      <c r="C343" s="4">
        <v>525310090</v>
      </c>
      <c r="D343" s="3" t="s">
        <v>0</v>
      </c>
      <c r="E343" s="2" t="str">
        <f>"0006400066"</f>
        <v>0006400066</v>
      </c>
      <c r="F343" s="5">
        <v>42053</v>
      </c>
      <c r="G343" s="5">
        <v>54789</v>
      </c>
      <c r="H343" s="4" t="str">
        <f>""</f>
        <v/>
      </c>
      <c r="I343" s="4" t="str">
        <f>""</f>
        <v/>
      </c>
    </row>
    <row r="344" spans="1:9" x14ac:dyDescent="0.3">
      <c r="A344" s="1" t="str">
        <f>"13"</f>
        <v>13</v>
      </c>
      <c r="B344" s="4" t="str">
        <f>"MB RECYCLAGE"</f>
        <v>MB RECYCLAGE</v>
      </c>
      <c r="C344" s="4">
        <v>525310090</v>
      </c>
      <c r="D344" s="3" t="s">
        <v>0</v>
      </c>
      <c r="E344" s="2" t="str">
        <f>"PR1300055D"</f>
        <v>PR1300055D</v>
      </c>
      <c r="F344" s="5">
        <v>42053</v>
      </c>
      <c r="G344" s="5">
        <v>54789</v>
      </c>
      <c r="H344" s="4" t="str">
        <f>""</f>
        <v/>
      </c>
      <c r="I344" s="4" t="str">
        <f>""</f>
        <v/>
      </c>
    </row>
    <row r="345" spans="1:9" x14ac:dyDescent="0.3">
      <c r="A345" s="1" t="str">
        <f>"13"</f>
        <v>13</v>
      </c>
      <c r="B345" s="4" t="str">
        <f>"SURPLUS AUTOS"</f>
        <v>SURPLUS AUTOS</v>
      </c>
      <c r="C345" s="4">
        <v>637280165</v>
      </c>
      <c r="D345" s="3" t="s">
        <v>0</v>
      </c>
      <c r="E345" s="2" t="str">
        <f>"PR1300006D"</f>
        <v>PR1300006D</v>
      </c>
      <c r="F345" s="5">
        <v>38841</v>
      </c>
      <c r="G345" s="5">
        <v>54789</v>
      </c>
      <c r="H345" s="4" t="str">
        <f>""</f>
        <v/>
      </c>
      <c r="I345" s="4" t="str">
        <f>""</f>
        <v/>
      </c>
    </row>
    <row r="346" spans="1:9" x14ac:dyDescent="0.3">
      <c r="A346" s="1" t="str">
        <f>"13"</f>
        <v>13</v>
      </c>
      <c r="B346" s="4" t="str">
        <f>"SURPLUS AUTOS"</f>
        <v>SURPLUS AUTOS</v>
      </c>
      <c r="C346" s="4">
        <v>637280165</v>
      </c>
      <c r="D346" s="3" t="s">
        <v>0</v>
      </c>
      <c r="E346" s="2" t="str">
        <f>"0006400078"</f>
        <v>0006400078</v>
      </c>
      <c r="F346" s="5">
        <v>38841</v>
      </c>
      <c r="G346" s="5">
        <v>54789</v>
      </c>
      <c r="H346" s="4" t="str">
        <f>""</f>
        <v/>
      </c>
      <c r="I346" s="4" t="str">
        <f>""</f>
        <v/>
      </c>
    </row>
    <row r="347" spans="1:9" x14ac:dyDescent="0.3">
      <c r="A347" s="1" t="str">
        <f>"13"</f>
        <v>13</v>
      </c>
      <c r="B347" s="4" t="str">
        <f>"GUY DAUPHIN ENVIRONNEMENT"</f>
        <v>GUY DAUPHIN ENVIRONNEMENT</v>
      </c>
      <c r="C347" s="4">
        <v>653820530</v>
      </c>
      <c r="D347" s="3" t="s">
        <v>0</v>
      </c>
      <c r="E347" s="2" t="str">
        <f>"PR1300007D"</f>
        <v>PR1300007D</v>
      </c>
      <c r="F347" s="5">
        <v>38905</v>
      </c>
      <c r="G347" s="5">
        <v>54789</v>
      </c>
      <c r="H347" s="4" t="str">
        <f>""</f>
        <v/>
      </c>
      <c r="I347" s="4" t="str">
        <f>""</f>
        <v/>
      </c>
    </row>
    <row r="348" spans="1:9" x14ac:dyDescent="0.3">
      <c r="A348" s="1" t="str">
        <f>"13"</f>
        <v>13</v>
      </c>
      <c r="B348" s="4" t="str">
        <f>"GUY DAUPHIN ENVIRONNEMENT"</f>
        <v>GUY DAUPHIN ENVIRONNEMENT</v>
      </c>
      <c r="C348" s="4">
        <v>653820530</v>
      </c>
      <c r="D348" s="3" t="s">
        <v>0</v>
      </c>
      <c r="E348" s="2" t="str">
        <f>"PR1300039D"</f>
        <v>PR1300039D</v>
      </c>
      <c r="F348" s="5">
        <v>39874</v>
      </c>
      <c r="G348" s="5">
        <v>54789</v>
      </c>
      <c r="H348" s="4" t="str">
        <f>""</f>
        <v/>
      </c>
      <c r="I348" s="4" t="str">
        <f>""</f>
        <v/>
      </c>
    </row>
    <row r="349" spans="1:9" x14ac:dyDescent="0.3">
      <c r="A349" s="1" t="str">
        <f>"13"</f>
        <v>13</v>
      </c>
      <c r="B349" s="4" t="str">
        <f>"GUY DAUPHIN ENVIRONNEMENT"</f>
        <v>GUY DAUPHIN ENVIRONNEMENT</v>
      </c>
      <c r="C349" s="4">
        <v>653820530</v>
      </c>
      <c r="D349" s="3" t="s">
        <v>0</v>
      </c>
      <c r="E349" s="2" t="str">
        <f>"PR13000061D"</f>
        <v>PR13000061D</v>
      </c>
      <c r="F349" s="5">
        <v>42755</v>
      </c>
      <c r="G349" s="5">
        <v>54789</v>
      </c>
      <c r="H349" s="4" t="str">
        <f>""</f>
        <v/>
      </c>
      <c r="I349" s="4" t="str">
        <f>""</f>
        <v/>
      </c>
    </row>
    <row r="350" spans="1:9" x14ac:dyDescent="0.3">
      <c r="A350" s="1" t="str">
        <f>"13"</f>
        <v>13</v>
      </c>
      <c r="B350" s="4" t="str">
        <f>"GUY DAUPHIN ENVIRONNEMENT"</f>
        <v>GUY DAUPHIN ENVIRONNEMENT</v>
      </c>
      <c r="C350" s="4">
        <v>653820530</v>
      </c>
      <c r="D350" s="3" t="s">
        <v>0</v>
      </c>
      <c r="E350" s="2" t="str">
        <f>"0006400902"</f>
        <v>0006400902</v>
      </c>
      <c r="F350" s="5">
        <v>42755</v>
      </c>
      <c r="G350" s="5">
        <v>54789</v>
      </c>
      <c r="H350" s="4" t="str">
        <f>""</f>
        <v/>
      </c>
      <c r="I350" s="4" t="str">
        <f>""</f>
        <v/>
      </c>
    </row>
    <row r="351" spans="1:9" x14ac:dyDescent="0.3">
      <c r="A351" s="1" t="str">
        <f>"13"</f>
        <v>13</v>
      </c>
      <c r="B351" s="4" t="str">
        <f>"II D PIECES AUTOS"</f>
        <v>II D PIECES AUTOS</v>
      </c>
      <c r="C351" s="4">
        <v>789192457</v>
      </c>
      <c r="D351" s="3" t="s">
        <v>0</v>
      </c>
      <c r="E351" s="2" t="str">
        <f>"PR1300033D"</f>
        <v>PR1300033D</v>
      </c>
      <c r="F351" s="5">
        <v>41459</v>
      </c>
      <c r="G351" s="5">
        <v>54789</v>
      </c>
      <c r="H351" s="4" t="str">
        <f>""</f>
        <v/>
      </c>
      <c r="I351" s="4" t="str">
        <f>""</f>
        <v/>
      </c>
    </row>
    <row r="352" spans="1:9" x14ac:dyDescent="0.3">
      <c r="A352" s="1" t="str">
        <f>"13"</f>
        <v>13</v>
      </c>
      <c r="B352" s="4" t="str">
        <f>"II D PIECES AUTOS"</f>
        <v>II D PIECES AUTOS</v>
      </c>
      <c r="C352" s="4">
        <v>789192457</v>
      </c>
      <c r="D352" s="3" t="s">
        <v>0</v>
      </c>
      <c r="E352" s="2" t="str">
        <f>"PR1300034D"</f>
        <v>PR1300034D</v>
      </c>
      <c r="F352" s="5">
        <v>43553</v>
      </c>
      <c r="G352" s="5">
        <v>54789</v>
      </c>
      <c r="H352" s="4" t="str">
        <f>""</f>
        <v/>
      </c>
      <c r="I352" s="4" t="str">
        <f>""</f>
        <v/>
      </c>
    </row>
    <row r="353" spans="1:9" x14ac:dyDescent="0.3">
      <c r="A353" s="1" t="str">
        <f>"13"</f>
        <v>13</v>
      </c>
      <c r="B353" s="4" t="str">
        <f>"II D PIECES AUTOS"</f>
        <v>II D PIECES AUTOS</v>
      </c>
      <c r="C353" s="4">
        <v>789192457</v>
      </c>
      <c r="D353" s="3" t="s">
        <v>0</v>
      </c>
      <c r="E353" s="2" t="str">
        <f>"0006401751"</f>
        <v>0006401751</v>
      </c>
      <c r="F353" s="5">
        <v>43553</v>
      </c>
      <c r="G353" s="5">
        <v>54789</v>
      </c>
      <c r="H353" s="4" t="str">
        <f>""</f>
        <v/>
      </c>
      <c r="I353" s="4" t="str">
        <f>""</f>
        <v/>
      </c>
    </row>
    <row r="354" spans="1:9" x14ac:dyDescent="0.3">
      <c r="A354" s="1" t="str">
        <f>"13"</f>
        <v>13</v>
      </c>
      <c r="B354" s="4" t="str">
        <f>"MARTIGUES PIECES AUTO"</f>
        <v>MARTIGUES PIECES AUTO</v>
      </c>
      <c r="C354" s="4">
        <v>789581683</v>
      </c>
      <c r="D354" s="3" t="s">
        <v>0</v>
      </c>
      <c r="E354" s="2" t="str">
        <f>"PR13000060D"</f>
        <v>PR13000060D</v>
      </c>
      <c r="F354" s="5">
        <v>42781</v>
      </c>
      <c r="G354" s="5">
        <v>54789</v>
      </c>
      <c r="H354" s="4" t="str">
        <f>""</f>
        <v/>
      </c>
      <c r="I354" s="4" t="str">
        <f>""</f>
        <v/>
      </c>
    </row>
    <row r="355" spans="1:9" x14ac:dyDescent="0.3">
      <c r="A355" s="1" t="str">
        <f>"13"</f>
        <v>13</v>
      </c>
      <c r="B355" s="4" t="str">
        <f>"MARTIGUES PIECES AUTO"</f>
        <v>MARTIGUES PIECES AUTO</v>
      </c>
      <c r="C355" s="4">
        <v>789581683</v>
      </c>
      <c r="D355" s="3" t="s">
        <v>0</v>
      </c>
      <c r="E355" s="2" t="str">
        <f>"0006406244"</f>
        <v>0006406244</v>
      </c>
      <c r="F355" s="5">
        <v>42781</v>
      </c>
      <c r="G355" s="5">
        <v>54789</v>
      </c>
      <c r="H355" s="4" t="str">
        <f>""</f>
        <v/>
      </c>
      <c r="I355" s="4" t="str">
        <f>""</f>
        <v/>
      </c>
    </row>
    <row r="356" spans="1:9" x14ac:dyDescent="0.3">
      <c r="A356" s="1" t="str">
        <f>"13"</f>
        <v>13</v>
      </c>
      <c r="B356" s="4" t="str">
        <f>"SOREAL"</f>
        <v>SOREAL</v>
      </c>
      <c r="C356" s="4">
        <v>810860296</v>
      </c>
      <c r="D356" s="3" t="s">
        <v>0</v>
      </c>
      <c r="E356" s="2" t="str">
        <f>"0006400608"</f>
        <v>0006400608</v>
      </c>
      <c r="F356" s="5">
        <v>44211</v>
      </c>
      <c r="G356" s="5">
        <v>54789</v>
      </c>
      <c r="H356" s="4" t="str">
        <f>""</f>
        <v/>
      </c>
      <c r="I356" s="4" t="str">
        <f>""</f>
        <v/>
      </c>
    </row>
    <row r="357" spans="1:9" x14ac:dyDescent="0.3">
      <c r="A357" s="1" t="str">
        <f>"13"</f>
        <v>13</v>
      </c>
      <c r="B357" s="4" t="str">
        <f>"SOREAL"</f>
        <v>SOREAL</v>
      </c>
      <c r="C357" s="4">
        <v>810860296</v>
      </c>
      <c r="D357" s="3" t="s">
        <v>0</v>
      </c>
      <c r="E357" s="2" t="str">
        <f>"PR1300066D"</f>
        <v>PR1300066D</v>
      </c>
      <c r="F357" s="5">
        <v>44211</v>
      </c>
      <c r="G357" s="5">
        <v>54789</v>
      </c>
      <c r="H357" s="4" t="str">
        <f>""</f>
        <v/>
      </c>
      <c r="I357" s="4" t="str">
        <f>""</f>
        <v/>
      </c>
    </row>
    <row r="358" spans="1:9" x14ac:dyDescent="0.3">
      <c r="A358" s="1" t="str">
        <f>"13"</f>
        <v>13</v>
      </c>
      <c r="B358" s="4" t="str">
        <f>"CENTRAL PIECES AUTO"</f>
        <v>CENTRAL PIECES AUTO</v>
      </c>
      <c r="C358" s="4">
        <v>819712829</v>
      </c>
      <c r="D358" s="3" t="s">
        <v>0</v>
      </c>
      <c r="E358" s="2" t="str">
        <f>"PR1300046D"</f>
        <v>PR1300046D</v>
      </c>
      <c r="F358" s="5">
        <v>42949</v>
      </c>
      <c r="G358" s="5">
        <v>54789</v>
      </c>
      <c r="H358" s="4" t="str">
        <f>""</f>
        <v/>
      </c>
      <c r="I358" s="4" t="str">
        <f>""</f>
        <v/>
      </c>
    </row>
    <row r="359" spans="1:9" x14ac:dyDescent="0.3">
      <c r="A359" s="1" t="str">
        <f>"13"</f>
        <v>13</v>
      </c>
      <c r="B359" s="4" t="str">
        <f>"CENTRAL PIECES AUTO"</f>
        <v>CENTRAL PIECES AUTO</v>
      </c>
      <c r="C359" s="4">
        <v>819712829</v>
      </c>
      <c r="D359" s="3" t="s">
        <v>0</v>
      </c>
      <c r="E359" s="2" t="str">
        <f>"0006400579"</f>
        <v>0006400579</v>
      </c>
      <c r="F359" s="5">
        <v>42949</v>
      </c>
      <c r="G359" s="5">
        <v>54789</v>
      </c>
      <c r="H359" s="4" t="str">
        <f>""</f>
        <v/>
      </c>
      <c r="I359" s="4" t="str">
        <f>""</f>
        <v/>
      </c>
    </row>
    <row r="360" spans="1:9" x14ac:dyDescent="0.3">
      <c r="A360" s="1" t="str">
        <f>"13"</f>
        <v>13</v>
      </c>
      <c r="B360" s="4" t="str">
        <f>"MANRIQUE"</f>
        <v>MANRIQUE</v>
      </c>
      <c r="C360" s="4">
        <v>820581593</v>
      </c>
      <c r="D360" s="3" t="s">
        <v>0</v>
      </c>
      <c r="E360" s="2" t="str">
        <f>"PR1300003D"</f>
        <v>PR1300003D</v>
      </c>
      <c r="F360" s="5">
        <v>42795</v>
      </c>
      <c r="G360" s="5">
        <v>54789</v>
      </c>
      <c r="H360" s="4" t="str">
        <f>""</f>
        <v/>
      </c>
      <c r="I360" s="4" t="str">
        <f>""</f>
        <v/>
      </c>
    </row>
    <row r="361" spans="1:9" x14ac:dyDescent="0.3">
      <c r="A361" s="1" t="str">
        <f>"13"</f>
        <v>13</v>
      </c>
      <c r="B361" s="4" t="str">
        <f>"MANRIQUE"</f>
        <v>MANRIQUE</v>
      </c>
      <c r="C361" s="4">
        <v>820581593</v>
      </c>
      <c r="D361" s="3" t="s">
        <v>0</v>
      </c>
      <c r="E361" s="2" t="str">
        <f>"0006400602"</f>
        <v>0006400602</v>
      </c>
      <c r="F361" s="5">
        <v>42795</v>
      </c>
      <c r="G361" s="5">
        <v>54789</v>
      </c>
      <c r="H361" s="4" t="str">
        <f>""</f>
        <v/>
      </c>
      <c r="I361" s="4" t="str">
        <f>""</f>
        <v/>
      </c>
    </row>
    <row r="362" spans="1:9" x14ac:dyDescent="0.3">
      <c r="A362" s="1" t="str">
        <f>"13"</f>
        <v>13</v>
      </c>
      <c r="B362" s="4" t="str">
        <f>"AUTO+"</f>
        <v>AUTO+</v>
      </c>
      <c r="C362" s="4">
        <v>834030447</v>
      </c>
      <c r="D362" s="3" t="s">
        <v>0</v>
      </c>
      <c r="E362" s="2" t="str">
        <f>"PR13000062D"</f>
        <v>PR13000062D</v>
      </c>
      <c r="F362" s="5">
        <v>43958</v>
      </c>
      <c r="G362" s="5">
        <v>54789</v>
      </c>
      <c r="H362" s="4" t="str">
        <f>""</f>
        <v/>
      </c>
      <c r="I362" s="4" t="str">
        <f>""</f>
        <v/>
      </c>
    </row>
    <row r="363" spans="1:9" x14ac:dyDescent="0.3">
      <c r="A363" s="1" t="str">
        <f>"13"</f>
        <v>13</v>
      </c>
      <c r="B363" s="4" t="str">
        <f>"CAC"</f>
        <v>CAC</v>
      </c>
      <c r="C363" s="4">
        <v>834972176</v>
      </c>
      <c r="D363" s="3" t="s">
        <v>0</v>
      </c>
      <c r="E363" s="2" t="str">
        <f>"0006408583"</f>
        <v>0006408583</v>
      </c>
      <c r="F363" s="5">
        <v>43263</v>
      </c>
      <c r="G363" s="5">
        <v>54789</v>
      </c>
      <c r="H363" s="4" t="str">
        <f>""</f>
        <v/>
      </c>
      <c r="I363" s="4" t="str">
        <f>""</f>
        <v/>
      </c>
    </row>
    <row r="364" spans="1:9" x14ac:dyDescent="0.3">
      <c r="A364" s="1" t="str">
        <f>"13"</f>
        <v>13</v>
      </c>
      <c r="B364" s="4" t="str">
        <f>"CAC"</f>
        <v>CAC</v>
      </c>
      <c r="C364" s="4">
        <v>834972176</v>
      </c>
      <c r="D364" s="3" t="s">
        <v>0</v>
      </c>
      <c r="E364" s="2" t="str">
        <f>"PR1300065D"</f>
        <v>PR1300065D</v>
      </c>
      <c r="F364" s="5">
        <v>43263</v>
      </c>
      <c r="G364" s="5">
        <v>54789</v>
      </c>
      <c r="H364" s="4" t="str">
        <f>""</f>
        <v/>
      </c>
      <c r="I364" s="4" t="str">
        <f>""</f>
        <v/>
      </c>
    </row>
    <row r="365" spans="1:9" x14ac:dyDescent="0.3">
      <c r="A365" s="1" t="str">
        <f>"14"</f>
        <v>14</v>
      </c>
      <c r="B365" s="4" t="str">
        <f>"Hervé Pican / St Paul du Vernay"</f>
        <v>Hervé Pican / St Paul du Vernay</v>
      </c>
      <c r="C365" s="4">
        <v>330026857</v>
      </c>
      <c r="D365" s="3" t="s">
        <v>0</v>
      </c>
      <c r="E365" s="2" t="str">
        <f>"PR1400029D"</f>
        <v>PR1400029D</v>
      </c>
      <c r="F365" s="5">
        <v>40709</v>
      </c>
      <c r="G365" s="5">
        <v>54789</v>
      </c>
      <c r="H365" s="4" t="str">
        <f>""</f>
        <v/>
      </c>
      <c r="I365" s="4" t="str">
        <f>""</f>
        <v/>
      </c>
    </row>
    <row r="366" spans="1:9" x14ac:dyDescent="0.3">
      <c r="A366" s="1" t="str">
        <f>"14"</f>
        <v>14</v>
      </c>
      <c r="B366" s="4" t="str">
        <f>"Hervé Pican / St Paul du Vernay"</f>
        <v>Hervé Pican / St Paul du Vernay</v>
      </c>
      <c r="C366" s="4">
        <v>330026857</v>
      </c>
      <c r="D366" s="3" t="s">
        <v>0</v>
      </c>
      <c r="E366" s="2" t="str">
        <f>"0005305808"</f>
        <v>0005305808</v>
      </c>
      <c r="F366" s="5">
        <v>40709</v>
      </c>
      <c r="G366" s="5">
        <v>54789</v>
      </c>
      <c r="H366" s="4" t="str">
        <f>""</f>
        <v/>
      </c>
      <c r="I366" s="4" t="str">
        <f>""</f>
        <v/>
      </c>
    </row>
    <row r="367" spans="1:9" x14ac:dyDescent="0.3">
      <c r="A367" s="1" t="str">
        <f>"14"</f>
        <v>14</v>
      </c>
      <c r="B367" s="4" t="str">
        <f>"AUTO LA CARTOUCHERIE / La Hoguette"</f>
        <v>AUTO LA CARTOUCHERIE / La Hoguette</v>
      </c>
      <c r="C367" s="4">
        <v>338548605</v>
      </c>
      <c r="D367" s="3" t="s">
        <v>0</v>
      </c>
      <c r="E367" s="2" t="str">
        <f>"PR1400028D"</f>
        <v>PR1400028D</v>
      </c>
      <c r="F367" s="5">
        <v>40533</v>
      </c>
      <c r="G367" s="5">
        <v>54789</v>
      </c>
      <c r="H367" s="4" t="str">
        <f>""</f>
        <v/>
      </c>
      <c r="I367" s="4" t="str">
        <f>""</f>
        <v/>
      </c>
    </row>
    <row r="368" spans="1:9" x14ac:dyDescent="0.3">
      <c r="A368" s="1" t="str">
        <f>"14"</f>
        <v>14</v>
      </c>
      <c r="B368" s="4" t="str">
        <f>"AUTO LA CARTOUCHERIE / La Hoguette"</f>
        <v>AUTO LA CARTOUCHERIE / La Hoguette</v>
      </c>
      <c r="C368" s="4">
        <v>338548605</v>
      </c>
      <c r="D368" s="3" t="s">
        <v>0</v>
      </c>
      <c r="E368" s="2" t="str">
        <f>"0005300859"</f>
        <v>0005300859</v>
      </c>
      <c r="F368" s="5">
        <v>40533</v>
      </c>
      <c r="G368" s="5">
        <v>54789</v>
      </c>
      <c r="H368" s="4" t="str">
        <f>""</f>
        <v/>
      </c>
      <c r="I368" s="4" t="str">
        <f>""</f>
        <v/>
      </c>
    </row>
    <row r="369" spans="1:9" x14ac:dyDescent="0.3">
      <c r="A369" s="1" t="str">
        <f>"14"</f>
        <v>14</v>
      </c>
      <c r="B369" s="4" t="str">
        <f>"L'AUTO SATISFACTION / Blainville sur Orne"</f>
        <v>L'AUTO SATISFACTION / Blainville sur Orne</v>
      </c>
      <c r="C369" s="4">
        <v>338559586</v>
      </c>
      <c r="D369" s="3" t="s">
        <v>0</v>
      </c>
      <c r="E369" s="2" t="str">
        <f>"PR1400021D"</f>
        <v>PR1400021D</v>
      </c>
      <c r="F369" s="5">
        <v>34408</v>
      </c>
      <c r="G369" s="5">
        <v>54789</v>
      </c>
      <c r="H369" s="4" t="str">
        <f>""</f>
        <v/>
      </c>
      <c r="I369" s="4" t="str">
        <f>""</f>
        <v/>
      </c>
    </row>
    <row r="370" spans="1:9" x14ac:dyDescent="0.3">
      <c r="A370" s="1" t="str">
        <f>"14"</f>
        <v>14</v>
      </c>
      <c r="B370" s="4" t="str">
        <f>"L'AUTO SATISFACTION / Blainville sur Orne"</f>
        <v>L'AUTO SATISFACTION / Blainville sur Orne</v>
      </c>
      <c r="C370" s="4">
        <v>338559586</v>
      </c>
      <c r="D370" s="3" t="s">
        <v>0</v>
      </c>
      <c r="E370" s="2" t="str">
        <f>"0005300083"</f>
        <v>0005300083</v>
      </c>
      <c r="F370" s="5">
        <v>34408</v>
      </c>
      <c r="G370" s="5">
        <v>54789</v>
      </c>
      <c r="H370" s="4" t="str">
        <f>""</f>
        <v/>
      </c>
      <c r="I370" s="4" t="str">
        <f>""</f>
        <v/>
      </c>
    </row>
    <row r="371" spans="1:9" x14ac:dyDescent="0.3">
      <c r="A371" s="1" t="str">
        <f>"14"</f>
        <v>14</v>
      </c>
      <c r="B371" s="4" t="str">
        <f>"Stéphane RATTIER / Souleuvre en Bocage"</f>
        <v>Stéphane RATTIER / Souleuvre en Bocage</v>
      </c>
      <c r="C371" s="4">
        <v>388266629</v>
      </c>
      <c r="D371" s="3" t="s">
        <v>0</v>
      </c>
      <c r="E371" s="2" t="str">
        <f>"PR1400027D"</f>
        <v>PR1400027D</v>
      </c>
      <c r="F371" s="5">
        <v>40214</v>
      </c>
      <c r="G371" s="5">
        <v>54789</v>
      </c>
      <c r="H371" s="4" t="str">
        <f>""</f>
        <v/>
      </c>
      <c r="I371" s="4" t="str">
        <f>""</f>
        <v/>
      </c>
    </row>
    <row r="372" spans="1:9" x14ac:dyDescent="0.3">
      <c r="A372" s="1" t="str">
        <f>"14"</f>
        <v>14</v>
      </c>
      <c r="B372" s="4" t="str">
        <f>"AUTO PIECES 14 / St Pierre en Auge"</f>
        <v>AUTO PIECES 14 / St Pierre en Auge</v>
      </c>
      <c r="C372" s="4">
        <v>402439335</v>
      </c>
      <c r="D372" s="3" t="s">
        <v>0</v>
      </c>
      <c r="E372" s="2" t="str">
        <f>"PR1400012D"</f>
        <v>PR1400012D</v>
      </c>
      <c r="F372" s="5">
        <v>38933</v>
      </c>
      <c r="G372" s="5">
        <v>54789</v>
      </c>
      <c r="H372" s="4" t="str">
        <f>""</f>
        <v/>
      </c>
      <c r="I372" s="4" t="str">
        <f>""</f>
        <v/>
      </c>
    </row>
    <row r="373" spans="1:9" x14ac:dyDescent="0.3">
      <c r="A373" s="1" t="str">
        <f>"14"</f>
        <v>14</v>
      </c>
      <c r="B373" s="4" t="str">
        <f>"AUTO PIECES 14 / St Pierre en Auge"</f>
        <v>AUTO PIECES 14 / St Pierre en Auge</v>
      </c>
      <c r="C373" s="4">
        <v>402439335</v>
      </c>
      <c r="D373" s="3" t="s">
        <v>0</v>
      </c>
      <c r="E373" s="2" t="str">
        <f>"0005305285"</f>
        <v>0005305285</v>
      </c>
      <c r="F373" s="5">
        <v>38933</v>
      </c>
      <c r="G373" s="5">
        <v>54789</v>
      </c>
      <c r="H373" s="4" t="str">
        <f>""</f>
        <v/>
      </c>
      <c r="I373" s="4" t="str">
        <f>""</f>
        <v/>
      </c>
    </row>
    <row r="374" spans="1:9" x14ac:dyDescent="0.3">
      <c r="A374" s="1" t="str">
        <f>"14"</f>
        <v>14</v>
      </c>
      <c r="B374" s="4" t="str">
        <f>"PASSENAUD RECYCLAGE / Hermival les Vaux"</f>
        <v>PASSENAUD RECYCLAGE / Hermival les Vaux</v>
      </c>
      <c r="C374" s="4">
        <v>412242315</v>
      </c>
      <c r="D374" s="3" t="s">
        <v>0</v>
      </c>
      <c r="E374" s="2" t="str">
        <f>"PR1400013D"</f>
        <v>PR1400013D</v>
      </c>
      <c r="F374" s="5">
        <v>43920</v>
      </c>
      <c r="G374" s="5">
        <v>54789</v>
      </c>
      <c r="H374" s="4" t="str">
        <f>""</f>
        <v/>
      </c>
      <c r="I374" s="4" t="str">
        <f>""</f>
        <v/>
      </c>
    </row>
    <row r="375" spans="1:9" x14ac:dyDescent="0.3">
      <c r="A375" s="1" t="str">
        <f>"14"</f>
        <v>14</v>
      </c>
      <c r="B375" s="4" t="str">
        <f>"PASSENAUD RECYCLAGE / Hermival les Vaux"</f>
        <v>PASSENAUD RECYCLAGE / Hermival les Vaux</v>
      </c>
      <c r="C375" s="4">
        <v>412242315</v>
      </c>
      <c r="D375" s="3" t="s">
        <v>0</v>
      </c>
      <c r="E375" s="2" t="str">
        <f>"0010007117"</f>
        <v>0010007117</v>
      </c>
      <c r="F375" s="5">
        <v>43920</v>
      </c>
      <c r="G375" s="5">
        <v>54789</v>
      </c>
      <c r="H375" s="4" t="str">
        <f>""</f>
        <v/>
      </c>
      <c r="I375" s="4" t="str">
        <f>""</f>
        <v/>
      </c>
    </row>
    <row r="376" spans="1:9" x14ac:dyDescent="0.3">
      <c r="A376" s="1" t="str">
        <f>"14"</f>
        <v>14</v>
      </c>
      <c r="B376" s="4" t="str">
        <f>"MARC MOTOS PIECES 14"</f>
        <v>MARC MOTOS PIECES 14</v>
      </c>
      <c r="C376" s="4">
        <v>414803015</v>
      </c>
      <c r="D376" s="3" t="s">
        <v>0</v>
      </c>
      <c r="E376" s="2" t="str">
        <f>"PR1400007D"</f>
        <v>PR1400007D</v>
      </c>
      <c r="F376" s="5">
        <v>38933</v>
      </c>
      <c r="G376" s="5">
        <v>54789</v>
      </c>
      <c r="H376" s="4" t="str">
        <f>""</f>
        <v/>
      </c>
      <c r="I376" s="4" t="str">
        <f>""</f>
        <v/>
      </c>
    </row>
    <row r="377" spans="1:9" x14ac:dyDescent="0.3">
      <c r="A377" s="1" t="str">
        <f>"14"</f>
        <v>14</v>
      </c>
      <c r="B377" s="4" t="str">
        <f>"MARC MOTOS PIECES 14"</f>
        <v>MARC MOTOS PIECES 14</v>
      </c>
      <c r="C377" s="4">
        <v>414803015</v>
      </c>
      <c r="D377" s="3" t="s">
        <v>0</v>
      </c>
      <c r="E377" s="2" t="str">
        <f>"0005304232"</f>
        <v>0005304232</v>
      </c>
      <c r="F377" s="5">
        <v>38933</v>
      </c>
      <c r="G377" s="5">
        <v>54789</v>
      </c>
      <c r="H377" s="4" t="str">
        <f>""</f>
        <v/>
      </c>
      <c r="I377" s="4" t="str">
        <f>""</f>
        <v/>
      </c>
    </row>
    <row r="378" spans="1:9" x14ac:dyDescent="0.3">
      <c r="A378" s="1" t="str">
        <f>"14"</f>
        <v>14</v>
      </c>
      <c r="B378" s="4" t="str">
        <f>"Société MARC MOTOS PIECES 14 / Bénouville"</f>
        <v>Société MARC MOTOS PIECES 14 / Bénouville</v>
      </c>
      <c r="C378" s="4">
        <v>418803015</v>
      </c>
      <c r="D378" s="3" t="s">
        <v>0</v>
      </c>
      <c r="E378" s="2" t="str">
        <f>"PR1400040D"</f>
        <v>PR1400040D</v>
      </c>
      <c r="F378" s="5">
        <v>43836</v>
      </c>
      <c r="G378" s="5">
        <v>54789</v>
      </c>
      <c r="H378" s="4" t="str">
        <f>""</f>
        <v/>
      </c>
      <c r="I378" s="4" t="str">
        <f>""</f>
        <v/>
      </c>
    </row>
    <row r="379" spans="1:9" x14ac:dyDescent="0.3">
      <c r="A379" s="1" t="str">
        <f>"14"</f>
        <v>14</v>
      </c>
      <c r="B379" s="4" t="str">
        <f>"Société MARC MOTOS PIECES 14 / Bénouville"</f>
        <v>Société MARC MOTOS PIECES 14 / Bénouville</v>
      </c>
      <c r="C379" s="4">
        <v>418803015</v>
      </c>
      <c r="D379" s="3" t="s">
        <v>0</v>
      </c>
      <c r="E379" s="2" t="str">
        <f>"0003901384"</f>
        <v>0003901384</v>
      </c>
      <c r="F379" s="5">
        <v>43836</v>
      </c>
      <c r="G379" s="5">
        <v>54789</v>
      </c>
      <c r="H379" s="4" t="str">
        <f>""</f>
        <v/>
      </c>
      <c r="I379" s="4" t="str">
        <f>""</f>
        <v/>
      </c>
    </row>
    <row r="380" spans="1:9" x14ac:dyDescent="0.3">
      <c r="A380" s="1" t="str">
        <f>"14"</f>
        <v>14</v>
      </c>
      <c r="B380" s="4" t="str">
        <f>"Etablissements PASSARD"</f>
        <v>Etablissements PASSARD</v>
      </c>
      <c r="C380" s="4">
        <v>429848765</v>
      </c>
      <c r="D380" s="3" t="s">
        <v>0</v>
      </c>
      <c r="E380" s="2" t="str">
        <f>"PR1400023D"</f>
        <v>PR1400023D</v>
      </c>
      <c r="F380" s="5">
        <v>39792</v>
      </c>
      <c r="G380" s="5">
        <v>54789</v>
      </c>
      <c r="H380" s="4" t="str">
        <f>""</f>
        <v/>
      </c>
      <c r="I380" s="4" t="str">
        <f>""</f>
        <v/>
      </c>
    </row>
    <row r="381" spans="1:9" x14ac:dyDescent="0.3">
      <c r="A381" s="1" t="str">
        <f>"14"</f>
        <v>14</v>
      </c>
      <c r="B381" s="4" t="str">
        <f>"Etablissements PASSARD"</f>
        <v>Etablissements PASSARD</v>
      </c>
      <c r="C381" s="4">
        <v>429848765</v>
      </c>
      <c r="D381" s="3" t="s">
        <v>0</v>
      </c>
      <c r="E381" s="2" t="str">
        <f>"0005301170"</f>
        <v>0005301170</v>
      </c>
      <c r="F381" s="5">
        <v>39792</v>
      </c>
      <c r="G381" s="5">
        <v>54789</v>
      </c>
      <c r="H381" s="4" t="str">
        <f>""</f>
        <v/>
      </c>
      <c r="I381" s="4" t="str">
        <f>""</f>
        <v/>
      </c>
    </row>
    <row r="382" spans="1:9" x14ac:dyDescent="0.3">
      <c r="A382" s="1" t="str">
        <f>"14"</f>
        <v>14</v>
      </c>
      <c r="B382" s="4" t="str">
        <f>"AUTO DESTRUCTION"</f>
        <v>AUTO DESTRUCTION</v>
      </c>
      <c r="C382" s="4">
        <v>500223185</v>
      </c>
      <c r="D382" s="3" t="s">
        <v>0</v>
      </c>
      <c r="E382" s="2" t="str">
        <f>"PR1400015D"</f>
        <v>PR1400015D</v>
      </c>
      <c r="F382" s="5">
        <v>39021</v>
      </c>
      <c r="G382" s="5">
        <v>54789</v>
      </c>
      <c r="H382" s="4" t="str">
        <f>""</f>
        <v/>
      </c>
      <c r="I382" s="4" t="str">
        <f>""</f>
        <v/>
      </c>
    </row>
    <row r="383" spans="1:9" x14ac:dyDescent="0.3">
      <c r="A383" s="1" t="str">
        <f>"14"</f>
        <v>14</v>
      </c>
      <c r="B383" s="4" t="str">
        <f>"AUTO DESTRUCTION"</f>
        <v>AUTO DESTRUCTION</v>
      </c>
      <c r="C383" s="4">
        <v>500223185</v>
      </c>
      <c r="D383" s="3" t="s">
        <v>0</v>
      </c>
      <c r="E383" s="2" t="str">
        <f>"0005300311"</f>
        <v>0005300311</v>
      </c>
      <c r="F383" s="5">
        <v>39021</v>
      </c>
      <c r="G383" s="5">
        <v>54789</v>
      </c>
      <c r="H383" s="4" t="str">
        <f>""</f>
        <v/>
      </c>
      <c r="I383" s="4" t="str">
        <f>""</f>
        <v/>
      </c>
    </row>
    <row r="384" spans="1:9" x14ac:dyDescent="0.3">
      <c r="A384" s="1" t="str">
        <f>"14"</f>
        <v>14</v>
      </c>
      <c r="B384" s="4" t="str">
        <f>"SARL ARD Closmenil / Tracy Bocage"</f>
        <v>SARL ARD Closmenil / Tracy Bocage</v>
      </c>
      <c r="C384" s="4">
        <v>524818093</v>
      </c>
      <c r="D384" s="3" t="s">
        <v>0</v>
      </c>
      <c r="E384" s="2" t="str">
        <f>"PR1400039D"</f>
        <v>PR1400039D</v>
      </c>
      <c r="F384" s="5">
        <v>43713</v>
      </c>
      <c r="G384" s="5">
        <v>54789</v>
      </c>
      <c r="H384" s="4" t="str">
        <f>""</f>
        <v/>
      </c>
      <c r="I384" s="4" t="str">
        <f>""</f>
        <v/>
      </c>
    </row>
    <row r="385" spans="1:9" x14ac:dyDescent="0.3">
      <c r="A385" s="1" t="str">
        <f>"14"</f>
        <v>14</v>
      </c>
      <c r="B385" s="4" t="str">
        <f>"SARL ARD Closmenil / Tracy Bocage"</f>
        <v>SARL ARD Closmenil / Tracy Bocage</v>
      </c>
      <c r="C385" s="4">
        <v>524818093</v>
      </c>
      <c r="D385" s="3" t="s">
        <v>0</v>
      </c>
      <c r="E385" s="2" t="str">
        <f>"0005305551"</f>
        <v>0005305551</v>
      </c>
      <c r="F385" s="5">
        <v>43713</v>
      </c>
      <c r="G385" s="5">
        <v>54789</v>
      </c>
      <c r="H385" s="4" t="str">
        <f>""</f>
        <v/>
      </c>
      <c r="I385" s="4" t="str">
        <f>""</f>
        <v/>
      </c>
    </row>
    <row r="386" spans="1:9" x14ac:dyDescent="0.3">
      <c r="A386" s="1" t="str">
        <f>"14"</f>
        <v>14</v>
      </c>
      <c r="B386" s="4" t="str">
        <f>"BENOIST AUTO PIECES"</f>
        <v>BENOIST AUTO PIECES</v>
      </c>
      <c r="C386" s="4">
        <v>529161689</v>
      </c>
      <c r="D386" s="3" t="s">
        <v>0</v>
      </c>
      <c r="E386" s="2" t="str">
        <f>"PR1400002D"</f>
        <v>PR1400002D</v>
      </c>
      <c r="F386" s="5">
        <v>38852</v>
      </c>
      <c r="G386" s="5">
        <v>54789</v>
      </c>
      <c r="H386" s="4" t="str">
        <f>""</f>
        <v/>
      </c>
      <c r="I386" s="4" t="str">
        <f>""</f>
        <v/>
      </c>
    </row>
    <row r="387" spans="1:9" x14ac:dyDescent="0.3">
      <c r="A387" s="1" t="str">
        <f>"14"</f>
        <v>14</v>
      </c>
      <c r="B387" s="4" t="str">
        <f>"BENOIST AUTO PIECES"</f>
        <v>BENOIST AUTO PIECES</v>
      </c>
      <c r="C387" s="4">
        <v>529161689</v>
      </c>
      <c r="D387" s="3" t="s">
        <v>0</v>
      </c>
      <c r="E387" s="2" t="str">
        <f>"0005300567"</f>
        <v>0005300567</v>
      </c>
      <c r="F387" s="5">
        <v>38852</v>
      </c>
      <c r="G387" s="5">
        <v>54789</v>
      </c>
      <c r="H387" s="4" t="str">
        <f>""</f>
        <v/>
      </c>
      <c r="I387" s="4" t="str">
        <f>""</f>
        <v/>
      </c>
    </row>
    <row r="388" spans="1:9" x14ac:dyDescent="0.3">
      <c r="A388" s="1" t="str">
        <f>"14"</f>
        <v>14</v>
      </c>
      <c r="B388" s="4" t="str">
        <f>"Société REVIVAL / Castine en Plaine et Le Castelet"</f>
        <v>Société REVIVAL / Castine en Plaine et Le Castelet</v>
      </c>
      <c r="C388" s="4">
        <v>616620092</v>
      </c>
      <c r="D388" s="3" t="s">
        <v>0</v>
      </c>
      <c r="E388" s="2" t="str">
        <f>"PR1400002B"</f>
        <v>PR1400002B</v>
      </c>
      <c r="F388" s="5">
        <v>40367</v>
      </c>
      <c r="G388" s="5">
        <v>54789</v>
      </c>
      <c r="H388" s="4" t="str">
        <f>""</f>
        <v/>
      </c>
      <c r="I388" s="4" t="str">
        <f>""</f>
        <v/>
      </c>
    </row>
    <row r="389" spans="1:9" x14ac:dyDescent="0.3">
      <c r="A389" s="1" t="str">
        <f>"14"</f>
        <v>14</v>
      </c>
      <c r="B389" s="4" t="str">
        <f>"Société REVIVAL / Castine en Plaine et Le Castelet"</f>
        <v>Société REVIVAL / Castine en Plaine et Le Castelet</v>
      </c>
      <c r="C389" s="4">
        <v>616620092</v>
      </c>
      <c r="D389" s="3" t="s">
        <v>0</v>
      </c>
      <c r="E389" s="2" t="str">
        <f>"0005301094"</f>
        <v>0005301094</v>
      </c>
      <c r="F389" s="5">
        <v>40367</v>
      </c>
      <c r="G389" s="5">
        <v>54789</v>
      </c>
      <c r="H389" s="4" t="str">
        <f>""</f>
        <v/>
      </c>
      <c r="I389" s="4" t="str">
        <f>""</f>
        <v/>
      </c>
    </row>
    <row r="390" spans="1:9" x14ac:dyDescent="0.3">
      <c r="A390" s="1" t="str">
        <f>"14"</f>
        <v>14</v>
      </c>
      <c r="B390" s="4" t="str">
        <f>"Société REVIVAL / Castine en Plaine et Le Castelet"</f>
        <v>Société REVIVAL / Castine en Plaine et Le Castelet</v>
      </c>
      <c r="C390" s="4">
        <v>616620092</v>
      </c>
      <c r="D390" s="3" t="s">
        <v>0</v>
      </c>
      <c r="E390" s="2" t="str">
        <f>"PR1400046D"</f>
        <v>PR1400046D</v>
      </c>
      <c r="F390" s="5">
        <v>40367</v>
      </c>
      <c r="G390" s="5">
        <v>54789</v>
      </c>
      <c r="H390" s="4" t="str">
        <f>""</f>
        <v/>
      </c>
      <c r="I390" s="4" t="str">
        <f>""</f>
        <v/>
      </c>
    </row>
    <row r="391" spans="1:9" x14ac:dyDescent="0.3">
      <c r="A391" s="1" t="str">
        <f>"14"</f>
        <v>14</v>
      </c>
      <c r="B391" s="4" t="str">
        <f>"Société REVIVAL / Castine en Plaine et Le Castelet"</f>
        <v>Société REVIVAL / Castine en Plaine et Le Castelet</v>
      </c>
      <c r="C391" s="4">
        <v>616620092</v>
      </c>
      <c r="D391" s="3" t="s">
        <v>0</v>
      </c>
      <c r="E391" s="2" t="str">
        <f>"0005301094"</f>
        <v>0005301094</v>
      </c>
      <c r="F391" s="5">
        <v>40367</v>
      </c>
      <c r="G391" s="5">
        <v>54789</v>
      </c>
      <c r="H391" s="4" t="str">
        <f>""</f>
        <v/>
      </c>
      <c r="I391" s="4" t="str">
        <f>""</f>
        <v/>
      </c>
    </row>
    <row r="392" spans="1:9" x14ac:dyDescent="0.3">
      <c r="A392" s="1" t="str">
        <f>"14"</f>
        <v>14</v>
      </c>
      <c r="B392" s="4" t="str">
        <f>"Société REVIVAL / Blainville sur Orne"</f>
        <v>Société REVIVAL / Blainville sur Orne</v>
      </c>
      <c r="C392" s="4">
        <v>616620092</v>
      </c>
      <c r="D392" s="3" t="s">
        <v>0</v>
      </c>
      <c r="E392" s="2" t="str">
        <f>"PR1400047D"</f>
        <v>PR1400047D</v>
      </c>
      <c r="F392" s="5">
        <v>41078</v>
      </c>
      <c r="G392" s="5">
        <v>54789</v>
      </c>
      <c r="H392" s="4" t="str">
        <f>""</f>
        <v/>
      </c>
      <c r="I392" s="4" t="str">
        <f>""</f>
        <v/>
      </c>
    </row>
    <row r="393" spans="1:9" x14ac:dyDescent="0.3">
      <c r="A393" s="1" t="str">
        <f>"14"</f>
        <v>14</v>
      </c>
      <c r="B393" s="4" t="str">
        <f>"Société REVIVAL / Blainville sur Orne"</f>
        <v>Société REVIVAL / Blainville sur Orne</v>
      </c>
      <c r="C393" s="4">
        <v>616620092</v>
      </c>
      <c r="D393" s="3" t="s">
        <v>0</v>
      </c>
      <c r="E393" s="2" t="str">
        <f>"0005301094"</f>
        <v>0005301094</v>
      </c>
      <c r="F393" s="5">
        <v>41078</v>
      </c>
      <c r="G393" s="5">
        <v>54789</v>
      </c>
      <c r="H393" s="4" t="str">
        <f>""</f>
        <v/>
      </c>
      <c r="I393" s="4" t="str">
        <f>""</f>
        <v/>
      </c>
    </row>
    <row r="394" spans="1:9" x14ac:dyDescent="0.3">
      <c r="A394" s="1" t="str">
        <f>"14"</f>
        <v>14</v>
      </c>
      <c r="B394" s="4" t="str">
        <f>"Société REVIVAL / Vire Normandie"</f>
        <v>Société REVIVAL / Vire Normandie</v>
      </c>
      <c r="C394" s="4">
        <v>616620092</v>
      </c>
      <c r="D394" s="3" t="s">
        <v>0</v>
      </c>
      <c r="E394" s="2" t="str">
        <f>"PR1400048"</f>
        <v>PR1400048</v>
      </c>
      <c r="F394" s="5">
        <v>44875</v>
      </c>
      <c r="G394" s="5">
        <v>54789</v>
      </c>
      <c r="H394" s="4" t="str">
        <f>""</f>
        <v/>
      </c>
      <c r="I394" s="4" t="str">
        <f>""</f>
        <v/>
      </c>
    </row>
    <row r="395" spans="1:9" x14ac:dyDescent="0.3">
      <c r="A395" s="1" t="str">
        <f>"14"</f>
        <v>14</v>
      </c>
      <c r="B395" s="4" t="str">
        <f>"Société REVIVAL / Vire Normandie"</f>
        <v>Société REVIVAL / Vire Normandie</v>
      </c>
      <c r="C395" s="4">
        <v>616620092</v>
      </c>
      <c r="D395" s="3" t="s">
        <v>0</v>
      </c>
      <c r="E395" s="2" t="str">
        <f>"0005301094"</f>
        <v>0005301094</v>
      </c>
      <c r="F395" s="5">
        <v>44875</v>
      </c>
      <c r="G395" s="5">
        <v>54789</v>
      </c>
      <c r="H395" s="4" t="str">
        <f>""</f>
        <v/>
      </c>
      <c r="I395" s="4" t="str">
        <f>""</f>
        <v/>
      </c>
    </row>
    <row r="396" spans="1:9" x14ac:dyDescent="0.3">
      <c r="A396" s="1" t="str">
        <f>"14"</f>
        <v>14</v>
      </c>
      <c r="B396" s="4" t="str">
        <f>"Société REVIVAL / Souleuvre en Bocage"</f>
        <v>Société REVIVAL / Souleuvre en Bocage</v>
      </c>
      <c r="C396" s="4">
        <v>616620092</v>
      </c>
      <c r="D396" s="3" t="s">
        <v>0</v>
      </c>
      <c r="E396" s="2" t="str">
        <f>"PR1400049D"</f>
        <v>PR1400049D</v>
      </c>
      <c r="F396" s="5">
        <v>44879</v>
      </c>
      <c r="G396" s="5">
        <v>54789</v>
      </c>
      <c r="H396" s="4" t="str">
        <f>""</f>
        <v/>
      </c>
      <c r="I396" s="4" t="str">
        <f>""</f>
        <v/>
      </c>
    </row>
    <row r="397" spans="1:9" x14ac:dyDescent="0.3">
      <c r="A397" s="1" t="str">
        <f>"14"</f>
        <v>14</v>
      </c>
      <c r="B397" s="4" t="str">
        <f>"Société REVIVAL / Souleuvre en Bocage"</f>
        <v>Société REVIVAL / Souleuvre en Bocage</v>
      </c>
      <c r="C397" s="4">
        <v>616620092</v>
      </c>
      <c r="D397" s="3" t="s">
        <v>0</v>
      </c>
      <c r="E397" s="2" t="str">
        <f>"0005301094"</f>
        <v>0005301094</v>
      </c>
      <c r="F397" s="5">
        <v>44879</v>
      </c>
      <c r="G397" s="5">
        <v>54789</v>
      </c>
      <c r="H397" s="4" t="str">
        <f>""</f>
        <v/>
      </c>
      <c r="I397" s="4" t="str">
        <f>""</f>
        <v/>
      </c>
    </row>
    <row r="398" spans="1:9" x14ac:dyDescent="0.3">
      <c r="A398" s="1" t="str">
        <f>"14"</f>
        <v>14</v>
      </c>
      <c r="B398" s="4" t="str">
        <f>"ML PIECES AUTO / Soumont saint Quentin"</f>
        <v>ML PIECES AUTO / Soumont saint Quentin</v>
      </c>
      <c r="C398" s="4">
        <v>801632100</v>
      </c>
      <c r="D398" s="3" t="s">
        <v>0</v>
      </c>
      <c r="E398" s="2" t="str">
        <f>"PR1400033D"</f>
        <v>PR1400033D</v>
      </c>
      <c r="F398" s="5">
        <v>41873</v>
      </c>
      <c r="G398" s="5">
        <v>54789</v>
      </c>
      <c r="H398" s="4" t="str">
        <f>""</f>
        <v/>
      </c>
      <c r="I398" s="4" t="str">
        <f>""</f>
        <v/>
      </c>
    </row>
    <row r="399" spans="1:9" x14ac:dyDescent="0.3">
      <c r="A399" s="1" t="str">
        <f>"14"</f>
        <v>14</v>
      </c>
      <c r="B399" s="4" t="str">
        <f>"ML PIECES AUTO / Soumont saint Quentin"</f>
        <v>ML PIECES AUTO / Soumont saint Quentin</v>
      </c>
      <c r="C399" s="4">
        <v>801632100</v>
      </c>
      <c r="D399" s="3" t="s">
        <v>0</v>
      </c>
      <c r="E399" s="2" t="str">
        <f>"0005301102"</f>
        <v>0005301102</v>
      </c>
      <c r="F399" s="5">
        <v>41873</v>
      </c>
      <c r="G399" s="5">
        <v>54789</v>
      </c>
      <c r="H399" s="4" t="str">
        <f>""</f>
        <v/>
      </c>
      <c r="I399" s="4" t="str">
        <f>""</f>
        <v/>
      </c>
    </row>
    <row r="400" spans="1:9" x14ac:dyDescent="0.3">
      <c r="A400" s="1" t="str">
        <f>"14"</f>
        <v>14</v>
      </c>
      <c r="B400" s="4" t="str">
        <f>"Caen Auto Négoce Caen Blainville sur Orne"</f>
        <v>Caen Auto Négoce Caen Blainville sur Orne</v>
      </c>
      <c r="C400" s="4">
        <v>809708506</v>
      </c>
      <c r="D400" s="3" t="s">
        <v>0</v>
      </c>
      <c r="E400" s="2" t="str">
        <f>"PR1400034D"</f>
        <v>PR1400034D</v>
      </c>
      <c r="F400" s="5">
        <v>42191</v>
      </c>
      <c r="G400" s="5">
        <v>54789</v>
      </c>
      <c r="H400" s="4" t="str">
        <f>""</f>
        <v/>
      </c>
      <c r="I400" s="4" t="str">
        <f>""</f>
        <v/>
      </c>
    </row>
    <row r="401" spans="1:9" x14ac:dyDescent="0.3">
      <c r="A401" s="1" t="str">
        <f>"14"</f>
        <v>14</v>
      </c>
      <c r="B401" s="4" t="str">
        <f>"Caen Auto Négoce Caen"</f>
        <v>Caen Auto Négoce Caen</v>
      </c>
      <c r="C401" s="4">
        <v>809708506</v>
      </c>
      <c r="D401" s="3" t="s">
        <v>0</v>
      </c>
      <c r="E401" s="2" t="str">
        <f>"0005300084"</f>
        <v>0005300084</v>
      </c>
      <c r="F401" s="5">
        <v>42191</v>
      </c>
      <c r="G401" s="5">
        <v>54789</v>
      </c>
      <c r="H401" s="4" t="str">
        <f>""</f>
        <v/>
      </c>
      <c r="I401" s="4" t="str">
        <f>""</f>
        <v/>
      </c>
    </row>
    <row r="402" spans="1:9" x14ac:dyDescent="0.3">
      <c r="A402" s="1" t="str">
        <f>"14"</f>
        <v>14</v>
      </c>
      <c r="B402" s="4" t="str">
        <f>"Stéphane RATTIER / Souleuvre en Bocage"</f>
        <v>Stéphane RATTIER / Souleuvre en Bocage</v>
      </c>
      <c r="C402" s="4">
        <v>811000014</v>
      </c>
      <c r="D402" s="3" t="s">
        <v>0</v>
      </c>
      <c r="E402" s="2" t="str">
        <f>"0005305641"</f>
        <v>0005305641</v>
      </c>
      <c r="F402" s="5">
        <v>40214</v>
      </c>
      <c r="G402" s="5">
        <v>54789</v>
      </c>
      <c r="H402" s="4" t="str">
        <f>""</f>
        <v/>
      </c>
      <c r="I402" s="4" t="str">
        <f>""</f>
        <v/>
      </c>
    </row>
    <row r="403" spans="1:9" x14ac:dyDescent="0.3">
      <c r="A403" s="1" t="str">
        <f>"14"</f>
        <v>14</v>
      </c>
      <c r="B403" s="4" t="str">
        <f>"SARL BENOIST PIECES AUTO / Giberville"</f>
        <v>SARL BENOIST PIECES AUTO / Giberville</v>
      </c>
      <c r="C403" s="4">
        <v>844259325</v>
      </c>
      <c r="D403" s="3" t="s">
        <v>0</v>
      </c>
      <c r="E403" s="2" t="str">
        <f>"PR1400037D"</f>
        <v>PR1400037D</v>
      </c>
      <c r="F403" s="5">
        <v>43529</v>
      </c>
      <c r="G403" s="5">
        <v>54789</v>
      </c>
      <c r="H403" s="4" t="str">
        <f>""</f>
        <v/>
      </c>
      <c r="I403" s="4" t="str">
        <f>""</f>
        <v/>
      </c>
    </row>
    <row r="404" spans="1:9" x14ac:dyDescent="0.3">
      <c r="A404" s="1" t="str">
        <f>"14"</f>
        <v>14</v>
      </c>
      <c r="B404" s="4" t="str">
        <f>"SARL BENOIST PIECES AUTO / Giberville"</f>
        <v>SARL BENOIST PIECES AUTO / Giberville</v>
      </c>
      <c r="C404" s="4">
        <v>844259325</v>
      </c>
      <c r="D404" s="3" t="s">
        <v>0</v>
      </c>
      <c r="E404" s="2" t="str">
        <f>"0005302883"</f>
        <v>0005302883</v>
      </c>
      <c r="F404" s="5">
        <v>43529</v>
      </c>
      <c r="G404" s="5">
        <v>54789</v>
      </c>
      <c r="H404" s="4" t="str">
        <f>""</f>
        <v/>
      </c>
      <c r="I404" s="4" t="str">
        <f>""</f>
        <v/>
      </c>
    </row>
    <row r="405" spans="1:9" x14ac:dyDescent="0.3">
      <c r="A405" s="1" t="str">
        <f>"14"</f>
        <v>14</v>
      </c>
      <c r="B405" s="4" t="str">
        <f>"Société BLC PIECES / Vire Normandie"</f>
        <v>Société BLC PIECES / Vire Normandie</v>
      </c>
      <c r="C405" s="4">
        <v>881163786</v>
      </c>
      <c r="D405" s="3" t="s">
        <v>0</v>
      </c>
      <c r="E405" s="2" t="str">
        <f>"PR1400042D"</f>
        <v>PR1400042D</v>
      </c>
      <c r="F405" s="5">
        <v>44095</v>
      </c>
      <c r="G405" s="5">
        <v>54789</v>
      </c>
      <c r="H405" s="4" t="str">
        <f>""</f>
        <v/>
      </c>
      <c r="I405" s="4" t="str">
        <f>""</f>
        <v/>
      </c>
    </row>
    <row r="406" spans="1:9" x14ac:dyDescent="0.3">
      <c r="A406" s="1" t="str">
        <f>"14"</f>
        <v>14</v>
      </c>
      <c r="B406" s="4" t="str">
        <f>"Société BLC PIECES / Vire Normandie"</f>
        <v>Société BLC PIECES / Vire Normandie</v>
      </c>
      <c r="C406" s="4">
        <v>881163786</v>
      </c>
      <c r="D406" s="3" t="s">
        <v>0</v>
      </c>
      <c r="E406" s="2" t="str">
        <f>"0003901947"</f>
        <v>0003901947</v>
      </c>
      <c r="F406" s="5">
        <v>44095</v>
      </c>
      <c r="G406" s="5">
        <v>54789</v>
      </c>
      <c r="H406" s="4" t="str">
        <f>""</f>
        <v/>
      </c>
      <c r="I406" s="4" t="str">
        <f>""</f>
        <v/>
      </c>
    </row>
    <row r="407" spans="1:9" x14ac:dyDescent="0.3">
      <c r="A407" s="1" t="str">
        <f>"14"</f>
        <v>14</v>
      </c>
      <c r="B407" s="4" t="str">
        <f>"Société SORECAUT Carpiquet"</f>
        <v>Société SORECAUT Carpiquet</v>
      </c>
      <c r="C407" s="4">
        <v>884545450</v>
      </c>
      <c r="D407" s="3" t="s">
        <v>0</v>
      </c>
      <c r="E407" s="2" t="str">
        <f>"PR1400043D"</f>
        <v>PR1400043D</v>
      </c>
      <c r="F407" s="5">
        <v>44245</v>
      </c>
      <c r="G407" s="5">
        <v>54789</v>
      </c>
      <c r="H407" s="4" t="str">
        <f>""</f>
        <v/>
      </c>
      <c r="I407" s="4" t="str">
        <f>""</f>
        <v/>
      </c>
    </row>
    <row r="408" spans="1:9" x14ac:dyDescent="0.3">
      <c r="A408" s="1" t="str">
        <f>"14"</f>
        <v>14</v>
      </c>
      <c r="B408" s="4" t="str">
        <f>"Société SORECAUT Carpiquet"</f>
        <v>Société SORECAUT Carpiquet</v>
      </c>
      <c r="C408" s="4">
        <v>884545450</v>
      </c>
      <c r="D408" s="3" t="s">
        <v>0</v>
      </c>
      <c r="E408" s="2" t="str">
        <f>"0005300261"</f>
        <v>0005300261</v>
      </c>
      <c r="F408" s="5">
        <v>44245</v>
      </c>
      <c r="G408" s="5">
        <v>54789</v>
      </c>
      <c r="H408" s="4" t="str">
        <f>""</f>
        <v/>
      </c>
      <c r="I408" s="4" t="str">
        <f>""</f>
        <v/>
      </c>
    </row>
    <row r="409" spans="1:9" x14ac:dyDescent="0.3">
      <c r="A409" s="1" t="str">
        <f>"14"</f>
        <v>14</v>
      </c>
      <c r="B409" s="4" t="str">
        <f>"SAS MARY Recyclage / Hermival les Vaux"</f>
        <v>SAS MARY Recyclage / Hermival les Vaux</v>
      </c>
      <c r="C409" s="4">
        <v>909177222</v>
      </c>
      <c r="D409" s="3" t="s">
        <v>0</v>
      </c>
      <c r="E409" s="2" t="str">
        <f>"PR1400045D"</f>
        <v>PR1400045D</v>
      </c>
      <c r="F409" s="5">
        <v>44680</v>
      </c>
      <c r="G409" s="5">
        <v>54789</v>
      </c>
      <c r="H409" s="4" t="str">
        <f>""</f>
        <v/>
      </c>
      <c r="I409" s="4" t="str">
        <f>""</f>
        <v/>
      </c>
    </row>
    <row r="410" spans="1:9" x14ac:dyDescent="0.3">
      <c r="A410" s="1" t="str">
        <f>"14"</f>
        <v>14</v>
      </c>
      <c r="B410" s="4" t="str">
        <f>"SAS MARY Recyclage / Hermival les Vaux"</f>
        <v>SAS MARY Recyclage / Hermival les Vaux</v>
      </c>
      <c r="C410" s="4">
        <v>909177222</v>
      </c>
      <c r="D410" s="3" t="s">
        <v>0</v>
      </c>
      <c r="E410" s="2" t="str">
        <f>"0005300918"</f>
        <v>0005300918</v>
      </c>
      <c r="F410" s="5">
        <v>44680</v>
      </c>
      <c r="G410" s="5">
        <v>54789</v>
      </c>
      <c r="H410" s="4" t="str">
        <f>""</f>
        <v/>
      </c>
      <c r="I410" s="4" t="str">
        <f>""</f>
        <v/>
      </c>
    </row>
    <row r="411" spans="1:9" x14ac:dyDescent="0.3">
      <c r="A411" s="1" t="str">
        <f>"14"</f>
        <v>14</v>
      </c>
      <c r="B411" s="4" t="str">
        <f>"NS Auto Pièces / Moult-Chicheboville"</f>
        <v>NS Auto Pièces / Moult-Chicheboville</v>
      </c>
      <c r="C411" s="4">
        <v>948811146</v>
      </c>
      <c r="D411" s="3" t="s">
        <v>0</v>
      </c>
      <c r="E411" s="2" t="str">
        <f>"PR1400050D"</f>
        <v>PR1400050D</v>
      </c>
      <c r="F411" s="5">
        <v>45058</v>
      </c>
      <c r="G411" s="5">
        <v>54789</v>
      </c>
      <c r="H411" s="4" t="str">
        <f>""</f>
        <v/>
      </c>
      <c r="I411" s="4" t="str">
        <f>""</f>
        <v/>
      </c>
    </row>
    <row r="412" spans="1:9" x14ac:dyDescent="0.3">
      <c r="A412" s="1" t="str">
        <f>"14"</f>
        <v>14</v>
      </c>
      <c r="B412" s="4" t="str">
        <f>"NS Auto Pièces / Moult-Chicheboville"</f>
        <v>NS Auto Pièces / Moult-Chicheboville</v>
      </c>
      <c r="C412" s="4">
        <v>948811146</v>
      </c>
      <c r="D412" s="3" t="s">
        <v>0</v>
      </c>
      <c r="E412" s="2" t="str">
        <f>"0005301027"</f>
        <v>0005301027</v>
      </c>
      <c r="F412" s="5">
        <v>45058</v>
      </c>
      <c r="G412" s="5">
        <v>54789</v>
      </c>
      <c r="H412" s="4" t="str">
        <f>""</f>
        <v/>
      </c>
      <c r="I412" s="4" t="str">
        <f>""</f>
        <v/>
      </c>
    </row>
    <row r="413" spans="1:9" x14ac:dyDescent="0.3">
      <c r="A413" s="1" t="str">
        <f>"15"</f>
        <v>15</v>
      </c>
      <c r="B413" s="4" t="str">
        <f>"SARL FABRUDE RECYCLAGE-TRANSAC AUTO"</f>
        <v>SARL FABRUDE RECYCLAGE-TRANSAC AUTO</v>
      </c>
      <c r="C413" s="4">
        <v>320991904</v>
      </c>
      <c r="D413" s="3" t="s">
        <v>0</v>
      </c>
      <c r="E413" s="2" t="str">
        <f>"0005600159"</f>
        <v>0005600159</v>
      </c>
      <c r="F413" s="5">
        <v>43285</v>
      </c>
      <c r="G413" s="5">
        <v>54789</v>
      </c>
      <c r="H413" s="4" t="str">
        <f>""</f>
        <v/>
      </c>
      <c r="I413" s="4" t="str">
        <f>""</f>
        <v/>
      </c>
    </row>
    <row r="414" spans="1:9" x14ac:dyDescent="0.3">
      <c r="A414" s="1" t="str">
        <f>"15"</f>
        <v>15</v>
      </c>
      <c r="B414" s="4" t="str">
        <f>"SARL FABRUDE RECYCLAGE-TRANSAC AUTO"</f>
        <v>SARL FABRUDE RECYCLAGE-TRANSAC AUTO</v>
      </c>
      <c r="C414" s="4">
        <v>320991904</v>
      </c>
      <c r="D414" s="3" t="s">
        <v>0</v>
      </c>
      <c r="E414" s="2" t="str">
        <f>"PR1500001D"</f>
        <v>PR1500001D</v>
      </c>
      <c r="F414" s="5">
        <v>43285</v>
      </c>
      <c r="G414" s="5">
        <v>54789</v>
      </c>
      <c r="H414" s="4" t="str">
        <f>""</f>
        <v/>
      </c>
      <c r="I414" s="4" t="str">
        <f>""</f>
        <v/>
      </c>
    </row>
    <row r="415" spans="1:9" x14ac:dyDescent="0.3">
      <c r="A415" s="1" t="str">
        <f>"15"</f>
        <v>15</v>
      </c>
      <c r="B415" s="4" t="str">
        <f>"SARL RM OCCAS"</f>
        <v>SARL RM OCCAS</v>
      </c>
      <c r="C415" s="4">
        <v>400489993</v>
      </c>
      <c r="D415" s="3" t="s">
        <v>0</v>
      </c>
      <c r="E415" s="2" t="str">
        <f>"0005600142"</f>
        <v>0005600142</v>
      </c>
      <c r="F415" s="5">
        <v>41817</v>
      </c>
      <c r="G415" s="5">
        <v>54789</v>
      </c>
      <c r="H415" s="4" t="str">
        <f>""</f>
        <v/>
      </c>
      <c r="I415" s="4" t="str">
        <f>""</f>
        <v/>
      </c>
    </row>
    <row r="416" spans="1:9" x14ac:dyDescent="0.3">
      <c r="A416" s="1" t="str">
        <f>"15"</f>
        <v>15</v>
      </c>
      <c r="B416" s="4" t="str">
        <f>"SARL RM OCCAS"</f>
        <v>SARL RM OCCAS</v>
      </c>
      <c r="C416" s="4">
        <v>400489993</v>
      </c>
      <c r="D416" s="3" t="s">
        <v>0</v>
      </c>
      <c r="E416" s="2" t="str">
        <f>"PR1500010D"</f>
        <v>PR1500010D</v>
      </c>
      <c r="F416" s="5">
        <v>41817</v>
      </c>
      <c r="G416" s="5">
        <v>54789</v>
      </c>
      <c r="H416" s="4" t="str">
        <f>""</f>
        <v/>
      </c>
      <c r="I416" s="4" t="str">
        <f>""</f>
        <v/>
      </c>
    </row>
    <row r="417" spans="1:9" x14ac:dyDescent="0.3">
      <c r="A417" s="1" t="str">
        <f>"15"</f>
        <v>15</v>
      </c>
      <c r="B417" s="4" t="str">
        <f>"SARL CHASSANG RECUPERATION"</f>
        <v>SARL CHASSANG RECUPERATION</v>
      </c>
      <c r="C417" s="4">
        <v>414272229</v>
      </c>
      <c r="D417" s="3" t="s">
        <v>0</v>
      </c>
      <c r="E417" s="2" t="str">
        <f>"PR1500004D"</f>
        <v>PR1500004D</v>
      </c>
      <c r="F417" s="5">
        <v>38905</v>
      </c>
      <c r="G417" s="5">
        <v>54789</v>
      </c>
      <c r="H417" s="4" t="str">
        <f>""</f>
        <v/>
      </c>
      <c r="I417" s="4" t="str">
        <f>""</f>
        <v/>
      </c>
    </row>
    <row r="418" spans="1:9" x14ac:dyDescent="0.3">
      <c r="A418" s="1" t="str">
        <f>"15"</f>
        <v>15</v>
      </c>
      <c r="B418" s="4" t="str">
        <f>"SARL CHASSANG RECUPERATION"</f>
        <v>SARL CHASSANG RECUPERATION</v>
      </c>
      <c r="C418" s="4">
        <v>414272229</v>
      </c>
      <c r="D418" s="3" t="s">
        <v>0</v>
      </c>
      <c r="E418" s="2" t="str">
        <f>"0005600008"</f>
        <v>0005600008</v>
      </c>
      <c r="F418" s="5">
        <v>38905</v>
      </c>
      <c r="G418" s="5">
        <v>54789</v>
      </c>
      <c r="H418" s="4" t="str">
        <f>""</f>
        <v/>
      </c>
      <c r="I418" s="4" t="str">
        <f>""</f>
        <v/>
      </c>
    </row>
    <row r="419" spans="1:9" x14ac:dyDescent="0.3">
      <c r="A419" s="1" t="str">
        <f>"15"</f>
        <v>15</v>
      </c>
      <c r="B419" s="4" t="str">
        <f>"SARL VITTEL RECUPERATION"</f>
        <v>SARL VITTEL RECUPERATION</v>
      </c>
      <c r="C419" s="4">
        <v>448217448</v>
      </c>
      <c r="D419" s="3" t="s">
        <v>0</v>
      </c>
      <c r="E419" s="2" t="str">
        <f>"PR1500005D"</f>
        <v>PR1500005D</v>
      </c>
      <c r="F419" s="5">
        <v>38915</v>
      </c>
      <c r="G419" s="5">
        <v>54789</v>
      </c>
      <c r="H419" s="4" t="str">
        <f>""</f>
        <v/>
      </c>
      <c r="I419" s="4" t="str">
        <f>""</f>
        <v/>
      </c>
    </row>
    <row r="420" spans="1:9" x14ac:dyDescent="0.3">
      <c r="A420" s="1" t="str">
        <f>"15"</f>
        <v>15</v>
      </c>
      <c r="B420" s="4" t="str">
        <f>"SARL VITTEL RECUPERATION"</f>
        <v>SARL VITTEL RECUPERATION</v>
      </c>
      <c r="C420" s="4">
        <v>448217448</v>
      </c>
      <c r="D420" s="3" t="s">
        <v>0</v>
      </c>
      <c r="E420" s="2" t="str">
        <f>"0005600153"</f>
        <v>0005600153</v>
      </c>
      <c r="F420" s="5">
        <v>38915</v>
      </c>
      <c r="G420" s="5">
        <v>54789</v>
      </c>
      <c r="H420" s="4" t="str">
        <f>""</f>
        <v/>
      </c>
      <c r="I420" s="4" t="str">
        <f>""</f>
        <v/>
      </c>
    </row>
    <row r="421" spans="1:9" x14ac:dyDescent="0.3">
      <c r="A421" s="1" t="str">
        <f>"15"</f>
        <v>15</v>
      </c>
      <c r="B421" s="4" t="str">
        <f>"AUT'OCCAS"</f>
        <v>AUT'OCCAS</v>
      </c>
      <c r="C421" s="4">
        <v>482507076</v>
      </c>
      <c r="D421" s="3" t="s">
        <v>0</v>
      </c>
      <c r="E421" s="2" t="str">
        <f>"PR1500008D"</f>
        <v>PR1500008D</v>
      </c>
      <c r="F421" s="5">
        <v>40343</v>
      </c>
      <c r="G421" s="5">
        <v>54789</v>
      </c>
      <c r="H421" s="4" t="str">
        <f>""</f>
        <v/>
      </c>
      <c r="I421" s="4" t="str">
        <f>""</f>
        <v/>
      </c>
    </row>
    <row r="422" spans="1:9" x14ac:dyDescent="0.3">
      <c r="A422" s="1" t="str">
        <f>"15"</f>
        <v>15</v>
      </c>
      <c r="B422" s="4" t="str">
        <f>"Etablissements AUT?OCASS"</f>
        <v>Etablissements AUT?OCASS</v>
      </c>
      <c r="C422" s="4">
        <v>482507076</v>
      </c>
      <c r="D422" s="3" t="s">
        <v>0</v>
      </c>
      <c r="E422" s="2" t="str">
        <f>"0005602124"</f>
        <v>0005602124</v>
      </c>
      <c r="F422" s="5">
        <v>40343</v>
      </c>
      <c r="G422" s="5">
        <v>54789</v>
      </c>
      <c r="H422" s="4" t="str">
        <f>""</f>
        <v/>
      </c>
      <c r="I422" s="4" t="str">
        <f>""</f>
        <v/>
      </c>
    </row>
    <row r="423" spans="1:9" x14ac:dyDescent="0.3">
      <c r="A423" s="1" t="str">
        <f>"15"</f>
        <v>15</v>
      </c>
      <c r="B423" s="4" t="str">
        <f>"SAS HINDERCHIED RECUPERATION"</f>
        <v>SAS HINDERCHIED RECUPERATION</v>
      </c>
      <c r="C423" s="4">
        <v>844686683</v>
      </c>
      <c r="D423" s="3" t="s">
        <v>0</v>
      </c>
      <c r="E423" s="2" t="str">
        <f>"PR1500007D"</f>
        <v>PR1500007D</v>
      </c>
      <c r="F423" s="5">
        <v>43385</v>
      </c>
      <c r="G423" s="5">
        <v>54789</v>
      </c>
      <c r="H423" s="4" t="str">
        <f>""</f>
        <v/>
      </c>
      <c r="I423" s="4" t="str">
        <f>""</f>
        <v/>
      </c>
    </row>
    <row r="424" spans="1:9" x14ac:dyDescent="0.3">
      <c r="A424" s="1" t="str">
        <f>"15"</f>
        <v>15</v>
      </c>
      <c r="B424" s="4" t="str">
        <f>"GARAGE DELRIEU"</f>
        <v>GARAGE DELRIEU</v>
      </c>
      <c r="C424" s="4">
        <v>844767566</v>
      </c>
      <c r="D424" s="3" t="s">
        <v>0</v>
      </c>
      <c r="E424" s="2" t="str">
        <f>"PR1500011D"</f>
        <v>PR1500011D</v>
      </c>
      <c r="F424" s="5">
        <v>44256</v>
      </c>
      <c r="G424" s="5">
        <v>54789</v>
      </c>
      <c r="H424" s="4" t="str">
        <f>""</f>
        <v/>
      </c>
      <c r="I424" s="4" t="str">
        <f>""</f>
        <v/>
      </c>
    </row>
    <row r="425" spans="1:9" x14ac:dyDescent="0.3">
      <c r="A425" s="1" t="str">
        <f>"15"</f>
        <v>15</v>
      </c>
      <c r="B425" s="4" t="str">
        <f>"GARAGE DELRIEU"</f>
        <v>GARAGE DELRIEU</v>
      </c>
      <c r="C425" s="4">
        <v>844767566</v>
      </c>
      <c r="D425" s="3" t="s">
        <v>0</v>
      </c>
      <c r="E425" s="2" t="str">
        <f>"0003203060"</f>
        <v>0003203060</v>
      </c>
      <c r="F425" s="5">
        <v>44256</v>
      </c>
      <c r="G425" s="5">
        <v>54789</v>
      </c>
      <c r="H425" s="4" t="str">
        <f>""</f>
        <v/>
      </c>
      <c r="I425" s="4" t="str">
        <f>""</f>
        <v/>
      </c>
    </row>
    <row r="426" spans="1:9" x14ac:dyDescent="0.3">
      <c r="A426" s="1" t="str">
        <f>"15"</f>
        <v>15</v>
      </c>
      <c r="B426" s="4" t="str">
        <f>"SASU LAPORTE RECUPERATION CANTAL"</f>
        <v>SASU LAPORTE RECUPERATION CANTAL</v>
      </c>
      <c r="C426" s="4">
        <v>894570464</v>
      </c>
      <c r="D426" s="3" t="s">
        <v>0</v>
      </c>
      <c r="E426" s="2" t="str">
        <f>"0005602709"</f>
        <v>0005602709</v>
      </c>
      <c r="F426" s="5">
        <v>44861</v>
      </c>
      <c r="G426" s="5">
        <v>54789</v>
      </c>
      <c r="H426" s="4" t="str">
        <f>""</f>
        <v/>
      </c>
      <c r="I426" s="4" t="str">
        <f>""</f>
        <v/>
      </c>
    </row>
    <row r="427" spans="1:9" x14ac:dyDescent="0.3">
      <c r="A427" s="1" t="str">
        <f>"15"</f>
        <v>15</v>
      </c>
      <c r="B427" s="4" t="str">
        <f>"SASU LAPORTE RECUPERATION CANTAL"</f>
        <v>SASU LAPORTE RECUPERATION CANTAL</v>
      </c>
      <c r="C427" s="4">
        <v>894570464</v>
      </c>
      <c r="D427" s="3" t="s">
        <v>0</v>
      </c>
      <c r="E427" s="2" t="str">
        <f>"PR1500012D"</f>
        <v>PR1500012D</v>
      </c>
      <c r="F427" s="5">
        <v>44861</v>
      </c>
      <c r="G427" s="5">
        <v>54789</v>
      </c>
      <c r="H427" s="4" t="str">
        <f>""</f>
        <v/>
      </c>
      <c r="I427" s="4" t="str">
        <f>""</f>
        <v/>
      </c>
    </row>
    <row r="428" spans="1:9" x14ac:dyDescent="0.3">
      <c r="A428" s="1" t="str">
        <f>"15"</f>
        <v>15</v>
      </c>
      <c r="B428" s="4" t="str">
        <f>"SAS AUTO PIECES DEJOU"</f>
        <v>SAS AUTO PIECES DEJOU</v>
      </c>
      <c r="C428" s="4">
        <v>909298556</v>
      </c>
      <c r="D428" s="3" t="s">
        <v>0</v>
      </c>
      <c r="E428" s="2" t="str">
        <f>"PR1500013D"</f>
        <v>PR1500013D</v>
      </c>
      <c r="F428" s="5">
        <v>44861</v>
      </c>
      <c r="G428" s="5">
        <v>54789</v>
      </c>
      <c r="H428" s="4" t="str">
        <f>""</f>
        <v/>
      </c>
      <c r="I428" s="4" t="str">
        <f>""</f>
        <v/>
      </c>
    </row>
    <row r="429" spans="1:9" x14ac:dyDescent="0.3">
      <c r="A429" s="1" t="str">
        <f>"15"</f>
        <v>15</v>
      </c>
      <c r="B429" s="4" t="str">
        <f>"SAS AUTO PIECES DEJOU"</f>
        <v>SAS AUTO PIECES DEJOU</v>
      </c>
      <c r="C429" s="4">
        <v>909298556</v>
      </c>
      <c r="D429" s="3" t="s">
        <v>0</v>
      </c>
      <c r="E429" s="2" t="str">
        <f>"0005600124"</f>
        <v>0005600124</v>
      </c>
      <c r="F429" s="5">
        <v>44861</v>
      </c>
      <c r="G429" s="5">
        <v>54789</v>
      </c>
      <c r="H429" s="4" t="str">
        <f>""</f>
        <v/>
      </c>
      <c r="I429" s="4" t="str">
        <f>""</f>
        <v/>
      </c>
    </row>
    <row r="430" spans="1:9" x14ac:dyDescent="0.3">
      <c r="A430" s="1" t="str">
        <f>"16"</f>
        <v>16</v>
      </c>
      <c r="B430" s="4" t="str">
        <f>"STE RECUP 16"</f>
        <v>STE RECUP 16</v>
      </c>
      <c r="C430" s="4">
        <v>332864172</v>
      </c>
      <c r="D430" s="3" t="s">
        <v>0</v>
      </c>
      <c r="E430" s="2" t="str">
        <f>"PR1600003D"</f>
        <v>PR1600003D</v>
      </c>
      <c r="F430" s="5">
        <v>38898</v>
      </c>
      <c r="G430" s="5">
        <v>54789</v>
      </c>
      <c r="H430" s="4" t="str">
        <f>""</f>
        <v/>
      </c>
      <c r="I430" s="4" t="str">
        <f>""</f>
        <v/>
      </c>
    </row>
    <row r="431" spans="1:9" x14ac:dyDescent="0.3">
      <c r="A431" s="1" t="str">
        <f>"16"</f>
        <v>16</v>
      </c>
      <c r="B431" s="4" t="str">
        <f>"STE RECUP 16"</f>
        <v>STE RECUP 16</v>
      </c>
      <c r="C431" s="4">
        <v>332864172</v>
      </c>
      <c r="D431" s="3" t="s">
        <v>0</v>
      </c>
      <c r="E431" s="2" t="str">
        <f>"0007202981"</f>
        <v>0007202981</v>
      </c>
      <c r="F431" s="5">
        <v>38898</v>
      </c>
      <c r="G431" s="5">
        <v>54789</v>
      </c>
      <c r="H431" s="4" t="str">
        <f>""</f>
        <v/>
      </c>
      <c r="I431" s="4" t="str">
        <f>""</f>
        <v/>
      </c>
    </row>
    <row r="432" spans="1:9" x14ac:dyDescent="0.3">
      <c r="A432" s="1" t="str">
        <f>"16"</f>
        <v>16</v>
      </c>
      <c r="B432" s="4" t="str">
        <f>"STE AUPY FRERES"</f>
        <v>STE AUPY FRERES</v>
      </c>
      <c r="C432" s="4">
        <v>334147964</v>
      </c>
      <c r="D432" s="3" t="s">
        <v>0</v>
      </c>
      <c r="E432" s="2" t="str">
        <f>"PR1600007D"</f>
        <v>PR1600007D</v>
      </c>
      <c r="F432" s="5">
        <v>39017</v>
      </c>
      <c r="G432" s="5">
        <v>54789</v>
      </c>
      <c r="H432" s="4" t="str">
        <f>""</f>
        <v/>
      </c>
      <c r="I432" s="4" t="str">
        <f>""</f>
        <v/>
      </c>
    </row>
    <row r="433" spans="1:9" x14ac:dyDescent="0.3">
      <c r="A433" s="1" t="str">
        <f>"16"</f>
        <v>16</v>
      </c>
      <c r="B433" s="4" t="str">
        <f>"STE AUPY FRERES"</f>
        <v>STE AUPY FRERES</v>
      </c>
      <c r="C433" s="4">
        <v>334147964</v>
      </c>
      <c r="D433" s="3" t="s">
        <v>0</v>
      </c>
      <c r="E433" s="2" t="str">
        <f>"0007201904"</f>
        <v>0007201904</v>
      </c>
      <c r="F433" s="5">
        <v>39017</v>
      </c>
      <c r="G433" s="5">
        <v>54789</v>
      </c>
      <c r="H433" s="4" t="str">
        <f>""</f>
        <v/>
      </c>
      <c r="I433" s="4" t="str">
        <f>""</f>
        <v/>
      </c>
    </row>
    <row r="434" spans="1:9" x14ac:dyDescent="0.3">
      <c r="A434" s="1" t="str">
        <f>"16"</f>
        <v>16</v>
      </c>
      <c r="B434" s="4" t="str">
        <f>"MAYOUX ANGOULEME RECUP'AUTO"</f>
        <v>MAYOUX ANGOULEME RECUP'AUTO</v>
      </c>
      <c r="C434" s="4">
        <v>339601759</v>
      </c>
      <c r="D434" s="3" t="s">
        <v>0</v>
      </c>
      <c r="E434" s="2" t="str">
        <f>"PR1600012D"</f>
        <v>PR1600012D</v>
      </c>
      <c r="F434" s="5">
        <v>43600</v>
      </c>
      <c r="G434" s="5">
        <v>54789</v>
      </c>
      <c r="H434" s="4" t="str">
        <f>""</f>
        <v/>
      </c>
      <c r="I434" s="4" t="str">
        <f>""</f>
        <v/>
      </c>
    </row>
    <row r="435" spans="1:9" x14ac:dyDescent="0.3">
      <c r="A435" s="1" t="str">
        <f>"16"</f>
        <v>16</v>
      </c>
      <c r="B435" s="4" t="str">
        <f>"MAYOUX ANGOULEME RECUP'AUTO"</f>
        <v>MAYOUX ANGOULEME RECUP'AUTO</v>
      </c>
      <c r="C435" s="4">
        <v>339601759</v>
      </c>
      <c r="D435" s="3" t="s">
        <v>0</v>
      </c>
      <c r="E435" s="2" t="str">
        <f>"0007206786"</f>
        <v>0007206786</v>
      </c>
      <c r="F435" s="5">
        <v>43600</v>
      </c>
      <c r="G435" s="5">
        <v>54789</v>
      </c>
      <c r="H435" s="4" t="str">
        <f>""</f>
        <v/>
      </c>
      <c r="I435" s="4" t="str">
        <f>""</f>
        <v/>
      </c>
    </row>
    <row r="436" spans="1:9" x14ac:dyDescent="0.3">
      <c r="A436" s="1" t="str">
        <f>"16"</f>
        <v>16</v>
      </c>
      <c r="B436" s="4" t="str">
        <f>"PIECES AUTO 16"</f>
        <v>PIECES AUTO 16</v>
      </c>
      <c r="C436" s="4">
        <v>394266464</v>
      </c>
      <c r="D436" s="3" t="s">
        <v>0</v>
      </c>
      <c r="E436" s="2" t="str">
        <f>"PR1600010D"</f>
        <v>PR1600010D</v>
      </c>
      <c r="F436" s="5">
        <v>39044</v>
      </c>
      <c r="G436" s="5">
        <v>54789</v>
      </c>
      <c r="H436" s="4" t="str">
        <f>""</f>
        <v/>
      </c>
      <c r="I436" s="4" t="str">
        <f>""</f>
        <v/>
      </c>
    </row>
    <row r="437" spans="1:9" x14ac:dyDescent="0.3">
      <c r="A437" s="1" t="str">
        <f>"16"</f>
        <v>16</v>
      </c>
      <c r="B437" s="4" t="str">
        <f>"PIECES AUTO 16"</f>
        <v>PIECES AUTO 16</v>
      </c>
      <c r="C437" s="4">
        <v>394266464</v>
      </c>
      <c r="D437" s="3" t="s">
        <v>0</v>
      </c>
      <c r="E437" s="2" t="str">
        <f>"0007202762"</f>
        <v>0007202762</v>
      </c>
      <c r="F437" s="5">
        <v>39044</v>
      </c>
      <c r="G437" s="5">
        <v>54789</v>
      </c>
      <c r="H437" s="4" t="str">
        <f>""</f>
        <v/>
      </c>
      <c r="I437" s="4" t="str">
        <f>""</f>
        <v/>
      </c>
    </row>
    <row r="438" spans="1:9" x14ac:dyDescent="0.3">
      <c r="A438" s="1" t="str">
        <f>"16"</f>
        <v>16</v>
      </c>
      <c r="B438" s="4" t="str">
        <f>"SIRMET"</f>
        <v>SIRMET</v>
      </c>
      <c r="C438" s="4">
        <v>432383321</v>
      </c>
      <c r="D438" s="3" t="s">
        <v>0</v>
      </c>
      <c r="E438" s="2" t="str">
        <f>"PR1600015D"</f>
        <v>PR1600015D</v>
      </c>
      <c r="F438" s="5">
        <v>44109</v>
      </c>
      <c r="G438" s="5">
        <v>54789</v>
      </c>
      <c r="H438" s="4" t="str">
        <f>""</f>
        <v/>
      </c>
      <c r="I438" s="4" t="str">
        <f>""</f>
        <v/>
      </c>
    </row>
    <row r="439" spans="1:9" x14ac:dyDescent="0.3">
      <c r="A439" s="1" t="str">
        <f>"16"</f>
        <v>16</v>
      </c>
      <c r="B439" s="4" t="str">
        <f>"SIRMET"</f>
        <v>SIRMET</v>
      </c>
      <c r="C439" s="4">
        <v>432383321</v>
      </c>
      <c r="D439" s="3" t="s">
        <v>0</v>
      </c>
      <c r="E439" s="2" t="str">
        <f>"PR1600016B"</f>
        <v>PR1600016B</v>
      </c>
      <c r="F439" s="5">
        <v>44109</v>
      </c>
      <c r="G439" s="5">
        <v>54789</v>
      </c>
      <c r="H439" s="4" t="str">
        <f>""</f>
        <v/>
      </c>
      <c r="I439" s="4" t="str">
        <f>""</f>
        <v/>
      </c>
    </row>
    <row r="440" spans="1:9" x14ac:dyDescent="0.3">
      <c r="A440" s="1" t="str">
        <f>"16"</f>
        <v>16</v>
      </c>
      <c r="B440" s="4" t="str">
        <f>"SIRMET"</f>
        <v>SIRMET</v>
      </c>
      <c r="C440" s="4">
        <v>432383321</v>
      </c>
      <c r="D440" s="3" t="s">
        <v>0</v>
      </c>
      <c r="E440" s="2" t="str">
        <f>"0007202063"</f>
        <v>0007202063</v>
      </c>
      <c r="F440" s="5">
        <v>44109</v>
      </c>
      <c r="G440" s="5">
        <v>54789</v>
      </c>
      <c r="H440" s="4" t="str">
        <f>""</f>
        <v/>
      </c>
      <c r="I440" s="4" t="str">
        <f>""</f>
        <v/>
      </c>
    </row>
    <row r="441" spans="1:9" x14ac:dyDescent="0.3">
      <c r="A441" s="1" t="str">
        <f>"16"</f>
        <v>16</v>
      </c>
      <c r="B441" s="4" t="str">
        <f>"CASSE 3000 SARL"</f>
        <v>CASSE 3000 SARL</v>
      </c>
      <c r="C441" s="4">
        <v>439212358</v>
      </c>
      <c r="D441" s="3" t="s">
        <v>0</v>
      </c>
      <c r="E441" s="2" t="str">
        <f>"PR1600024D"</f>
        <v>PR1600024D</v>
      </c>
      <c r="F441" s="5">
        <v>44074</v>
      </c>
      <c r="G441" s="5">
        <v>54789</v>
      </c>
      <c r="H441" s="4" t="str">
        <f>""</f>
        <v/>
      </c>
      <c r="I441" s="4" t="str">
        <f>""</f>
        <v/>
      </c>
    </row>
    <row r="442" spans="1:9" x14ac:dyDescent="0.3">
      <c r="A442" s="1" t="str">
        <f>"16"</f>
        <v>16</v>
      </c>
      <c r="B442" s="4" t="str">
        <f>"CASSE 3000 SARL"</f>
        <v>CASSE 3000 SARL</v>
      </c>
      <c r="C442" s="4">
        <v>439212358</v>
      </c>
      <c r="D442" s="3" t="s">
        <v>0</v>
      </c>
      <c r="E442" s="2" t="str">
        <f>"0003105719"</f>
        <v>0003105719</v>
      </c>
      <c r="F442" s="5">
        <v>44074</v>
      </c>
      <c r="G442" s="5">
        <v>54789</v>
      </c>
      <c r="H442" s="4" t="str">
        <f>""</f>
        <v/>
      </c>
      <c r="I442" s="4" t="str">
        <f>""</f>
        <v/>
      </c>
    </row>
    <row r="443" spans="1:9" x14ac:dyDescent="0.3">
      <c r="A443" s="1" t="str">
        <f>"16"</f>
        <v>16</v>
      </c>
      <c r="B443" s="4" t="str">
        <f>"SABATIER WILLIAM RECYCLAGE SARL"</f>
        <v>SABATIER WILLIAM RECYCLAGE SARL</v>
      </c>
      <c r="C443" s="4">
        <v>453322950</v>
      </c>
      <c r="D443" s="3" t="s">
        <v>0</v>
      </c>
      <c r="E443" s="2" t="str">
        <f>"PR1600023D"</f>
        <v>PR1600023D</v>
      </c>
      <c r="F443" s="5">
        <v>43207</v>
      </c>
      <c r="G443" s="5">
        <v>54789</v>
      </c>
      <c r="H443" s="4" t="str">
        <f>""</f>
        <v/>
      </c>
      <c r="I443" s="4" t="str">
        <f>""</f>
        <v/>
      </c>
    </row>
    <row r="444" spans="1:9" x14ac:dyDescent="0.3">
      <c r="A444" s="1" t="str">
        <f>"16"</f>
        <v>16</v>
      </c>
      <c r="B444" s="4" t="str">
        <f>"SABATIER WILLIAM RECYCLAGE SARL"</f>
        <v>SABATIER WILLIAM RECYCLAGE SARL</v>
      </c>
      <c r="C444" s="4">
        <v>453322950</v>
      </c>
      <c r="D444" s="3" t="s">
        <v>0</v>
      </c>
      <c r="E444" s="2" t="str">
        <f>"0007207204"</f>
        <v>0007207204</v>
      </c>
      <c r="F444" s="5">
        <v>43207</v>
      </c>
      <c r="G444" s="5">
        <v>54789</v>
      </c>
      <c r="H444" s="4" t="str">
        <f>""</f>
        <v/>
      </c>
      <c r="I444" s="4" t="str">
        <f>""</f>
        <v/>
      </c>
    </row>
    <row r="445" spans="1:9" x14ac:dyDescent="0.3">
      <c r="A445" s="1" t="str">
        <f>"16"</f>
        <v>16</v>
      </c>
      <c r="B445" s="4" t="str">
        <f>"SARL NIVELLE RECYCLAGE"</f>
        <v>SARL NIVELLE RECYCLAGE</v>
      </c>
      <c r="C445" s="4">
        <v>491062154</v>
      </c>
      <c r="D445" s="3" t="s">
        <v>0</v>
      </c>
      <c r="E445" s="2" t="str">
        <f>"PR1600001D"</f>
        <v>PR1600001D</v>
      </c>
      <c r="F445" s="5">
        <v>38821</v>
      </c>
      <c r="G445" s="5">
        <v>54789</v>
      </c>
      <c r="H445" s="4" t="str">
        <f>""</f>
        <v/>
      </c>
      <c r="I445" s="4" t="str">
        <f>""</f>
        <v/>
      </c>
    </row>
    <row r="446" spans="1:9" x14ac:dyDescent="0.3">
      <c r="A446" s="1" t="str">
        <f>"16"</f>
        <v>16</v>
      </c>
      <c r="B446" s="4" t="str">
        <f>"SARL NIVELLE RECYCLAGE"</f>
        <v>SARL NIVELLE RECYCLAGE</v>
      </c>
      <c r="C446" s="4">
        <v>491062154</v>
      </c>
      <c r="D446" s="3" t="s">
        <v>0</v>
      </c>
      <c r="E446" s="2" t="str">
        <f>"0007206714"</f>
        <v>0007206714</v>
      </c>
      <c r="F446" s="5">
        <v>38821</v>
      </c>
      <c r="G446" s="5">
        <v>54789</v>
      </c>
      <c r="H446" s="4" t="str">
        <f>""</f>
        <v/>
      </c>
      <c r="I446" s="4" t="str">
        <f>""</f>
        <v/>
      </c>
    </row>
    <row r="447" spans="1:9" x14ac:dyDescent="0.3">
      <c r="A447" s="1" t="str">
        <f>"16"</f>
        <v>16</v>
      </c>
      <c r="B447" s="4" t="str">
        <f>"RECUPERATION JOSEPH SABATIER SAS"</f>
        <v>RECUPERATION JOSEPH SABATIER SAS</v>
      </c>
      <c r="C447" s="4">
        <v>500601638</v>
      </c>
      <c r="D447" s="3" t="s">
        <v>0</v>
      </c>
      <c r="E447" s="2" t="str">
        <f>"0007203261"</f>
        <v>0007203261</v>
      </c>
      <c r="F447" s="5">
        <v>43557</v>
      </c>
      <c r="G447" s="5">
        <v>54789</v>
      </c>
      <c r="H447" s="4" t="str">
        <f>""</f>
        <v/>
      </c>
      <c r="I447" s="4" t="str">
        <f>""</f>
        <v/>
      </c>
    </row>
    <row r="448" spans="1:9" x14ac:dyDescent="0.3">
      <c r="A448" s="1" t="str">
        <f>"16"</f>
        <v>16</v>
      </c>
      <c r="B448" s="4" t="str">
        <f>"RECUPERATION JOSEPH SABATIER SAS"</f>
        <v>RECUPERATION JOSEPH SABATIER SAS</v>
      </c>
      <c r="C448" s="4">
        <v>500601638</v>
      </c>
      <c r="D448" s="3" t="s">
        <v>0</v>
      </c>
      <c r="E448" s="2" t="str">
        <f>"PR1600020D"</f>
        <v>PR1600020D</v>
      </c>
      <c r="F448" s="5">
        <v>43557</v>
      </c>
      <c r="G448" s="5">
        <v>54789</v>
      </c>
      <c r="H448" s="4" t="str">
        <f>""</f>
        <v/>
      </c>
      <c r="I448" s="4" t="str">
        <f>""</f>
        <v/>
      </c>
    </row>
    <row r="449" spans="1:9" x14ac:dyDescent="0.3">
      <c r="A449" s="1" t="str">
        <f>"16"</f>
        <v>16</v>
      </c>
      <c r="B449" s="4" t="str">
        <f>"RECUPERATION JOSEPH SABATIER SAS"</f>
        <v>RECUPERATION JOSEPH SABATIER SAS</v>
      </c>
      <c r="C449" s="4">
        <v>500601638</v>
      </c>
      <c r="D449" s="3" t="s">
        <v>0</v>
      </c>
      <c r="E449" s="2" t="str">
        <f>"PR1600009B"</f>
        <v>PR1600009B</v>
      </c>
      <c r="F449" s="5">
        <v>43557</v>
      </c>
      <c r="G449" s="5">
        <v>54789</v>
      </c>
      <c r="H449" s="4" t="str">
        <f>""</f>
        <v/>
      </c>
      <c r="I449" s="4" t="str">
        <f>""</f>
        <v/>
      </c>
    </row>
    <row r="450" spans="1:9" x14ac:dyDescent="0.3">
      <c r="A450" s="1" t="str">
        <f>"16"</f>
        <v>16</v>
      </c>
      <c r="B450" s="4" t="str">
        <f>"TRANS HIP AUTO"</f>
        <v>TRANS HIP AUTO</v>
      </c>
      <c r="C450" s="4">
        <v>789703006</v>
      </c>
      <c r="D450" s="3" t="s">
        <v>0</v>
      </c>
      <c r="E450" s="2" t="str">
        <f>"PR1600021D"</f>
        <v>PR1600021D</v>
      </c>
      <c r="F450" s="5">
        <v>41830</v>
      </c>
      <c r="G450" s="5">
        <v>54789</v>
      </c>
      <c r="H450" s="4" t="str">
        <f>""</f>
        <v/>
      </c>
      <c r="I450" s="4" t="str">
        <f>""</f>
        <v/>
      </c>
    </row>
    <row r="451" spans="1:9" x14ac:dyDescent="0.3">
      <c r="A451" s="1" t="str">
        <f>"16"</f>
        <v>16</v>
      </c>
      <c r="B451" s="4" t="str">
        <f>"TRANS HIP AUTO"</f>
        <v>TRANS HIP AUTO</v>
      </c>
      <c r="C451" s="4">
        <v>789703006</v>
      </c>
      <c r="D451" s="3" t="s">
        <v>0</v>
      </c>
      <c r="E451" s="2" t="str">
        <f>"0007210461"</f>
        <v>0007210461</v>
      </c>
      <c r="F451" s="5">
        <v>41830</v>
      </c>
      <c r="G451" s="5">
        <v>54789</v>
      </c>
      <c r="H451" s="4" t="str">
        <f>""</f>
        <v/>
      </c>
      <c r="I451" s="4" t="str">
        <f>""</f>
        <v/>
      </c>
    </row>
    <row r="452" spans="1:9" x14ac:dyDescent="0.3">
      <c r="A452" s="1" t="str">
        <f>"16"</f>
        <v>16</v>
      </c>
      <c r="B452" s="4" t="str">
        <f>"CASSE FERS ET METAUX CHARENTAISE"</f>
        <v>CASSE FERS ET METAUX CHARENTAISE</v>
      </c>
      <c r="C452" s="4">
        <v>803386473</v>
      </c>
      <c r="D452" s="3" t="s">
        <v>0</v>
      </c>
      <c r="E452" s="2" t="str">
        <f>"0007207639"</f>
        <v>0007207639</v>
      </c>
      <c r="F452" s="5">
        <v>42025</v>
      </c>
      <c r="G452" s="5">
        <v>54789</v>
      </c>
      <c r="H452" s="4" t="str">
        <f>""</f>
        <v/>
      </c>
      <c r="I452" s="4" t="str">
        <f>""</f>
        <v/>
      </c>
    </row>
    <row r="453" spans="1:9" x14ac:dyDescent="0.3">
      <c r="A453" s="1" t="str">
        <f>"16"</f>
        <v>16</v>
      </c>
      <c r="B453" s="4" t="str">
        <f>"CASSE FERS ET METAUX CHARENTAISE"</f>
        <v>CASSE FERS ET METAUX CHARENTAISE</v>
      </c>
      <c r="C453" s="4">
        <v>803386473</v>
      </c>
      <c r="D453" s="3" t="s">
        <v>0</v>
      </c>
      <c r="E453" s="2" t="str">
        <f>"PR1600014D"</f>
        <v>PR1600014D</v>
      </c>
      <c r="F453" s="5">
        <v>42025</v>
      </c>
      <c r="G453" s="5">
        <v>54789</v>
      </c>
      <c r="H453" s="4" t="str">
        <f>""</f>
        <v/>
      </c>
      <c r="I453" s="4" t="str">
        <f>""</f>
        <v/>
      </c>
    </row>
    <row r="454" spans="1:9" x14ac:dyDescent="0.3">
      <c r="A454" s="1" t="str">
        <f>"16"</f>
        <v>16</v>
      </c>
      <c r="B454" s="4" t="str">
        <f>"SERVICES AUTOS 16 SAS"</f>
        <v>SERVICES AUTOS 16 SAS</v>
      </c>
      <c r="C454" s="4">
        <v>850853870</v>
      </c>
      <c r="D454" s="3" t="s">
        <v>0</v>
      </c>
      <c r="E454" s="2" t="str">
        <f>"0007201833"</f>
        <v>0007201833</v>
      </c>
      <c r="F454" s="5">
        <v>43608</v>
      </c>
      <c r="G454" s="5">
        <v>54789</v>
      </c>
      <c r="H454" s="4" t="str">
        <f>""</f>
        <v/>
      </c>
      <c r="I454" s="4" t="str">
        <f>""</f>
        <v/>
      </c>
    </row>
    <row r="455" spans="1:9" x14ac:dyDescent="0.3">
      <c r="A455" s="1" t="str">
        <f>"16"</f>
        <v>16</v>
      </c>
      <c r="B455" s="4" t="str">
        <f>"SERVICES AUTOS 16 SAS"</f>
        <v>SERVICES AUTOS 16 SAS</v>
      </c>
      <c r="C455" s="4">
        <v>850853870</v>
      </c>
      <c r="D455" s="3" t="s">
        <v>0</v>
      </c>
      <c r="E455" s="2" t="str">
        <f>"PR1600006D"</f>
        <v>PR1600006D</v>
      </c>
      <c r="F455" s="5">
        <v>43608</v>
      </c>
      <c r="G455" s="5">
        <v>54789</v>
      </c>
      <c r="H455" s="4" t="str">
        <f>""</f>
        <v/>
      </c>
      <c r="I455" s="4" t="str">
        <f>""</f>
        <v/>
      </c>
    </row>
    <row r="456" spans="1:9" x14ac:dyDescent="0.3">
      <c r="A456" s="1" t="str">
        <f>"16"</f>
        <v>16</v>
      </c>
      <c r="B456" s="4" t="str">
        <f>"CASSE AUTO TAPONNAT SARL"</f>
        <v>CASSE AUTO TAPONNAT SARL</v>
      </c>
      <c r="C456" s="4">
        <v>881650204</v>
      </c>
      <c r="D456" s="3" t="s">
        <v>0</v>
      </c>
      <c r="E456" s="2" t="str">
        <f>"0007204052"</f>
        <v>0007204052</v>
      </c>
      <c r="F456" s="5">
        <v>44074</v>
      </c>
      <c r="G456" s="5">
        <v>54789</v>
      </c>
      <c r="H456" s="4" t="str">
        <f>""</f>
        <v/>
      </c>
      <c r="I456" s="4" t="str">
        <f>""</f>
        <v/>
      </c>
    </row>
    <row r="457" spans="1:9" x14ac:dyDescent="0.3">
      <c r="A457" s="1" t="str">
        <f>"16"</f>
        <v>16</v>
      </c>
      <c r="B457" s="4" t="str">
        <f>"CASSE AUTO TAPONNAT SARL"</f>
        <v>CASSE AUTO TAPONNAT SARL</v>
      </c>
      <c r="C457" s="4">
        <v>881650204</v>
      </c>
      <c r="D457" s="3" t="s">
        <v>0</v>
      </c>
      <c r="E457" s="2" t="str">
        <f>"PR1600004D"</f>
        <v>PR1600004D</v>
      </c>
      <c r="F457" s="5">
        <v>44074</v>
      </c>
      <c r="G457" s="5">
        <v>54789</v>
      </c>
      <c r="H457" s="4" t="str">
        <f>""</f>
        <v/>
      </c>
      <c r="I457" s="4" t="str">
        <f>""</f>
        <v/>
      </c>
    </row>
    <row r="458" spans="1:9" x14ac:dyDescent="0.3">
      <c r="A458" s="1" t="str">
        <f>"16"</f>
        <v>16</v>
      </c>
      <c r="B458" s="4" t="str">
        <f>"ECO CASSE"</f>
        <v>ECO CASSE</v>
      </c>
      <c r="C458" s="4">
        <v>903291581</v>
      </c>
      <c r="D458" s="3" t="s">
        <v>0</v>
      </c>
      <c r="E458" s="2" t="str">
        <f>"PR1600018D"</f>
        <v>PR1600018D</v>
      </c>
      <c r="F458" s="5">
        <v>45071</v>
      </c>
      <c r="G458" s="5">
        <v>54789</v>
      </c>
      <c r="H458" s="4" t="str">
        <f>""</f>
        <v/>
      </c>
      <c r="I458" s="4" t="str">
        <f>""</f>
        <v/>
      </c>
    </row>
    <row r="459" spans="1:9" x14ac:dyDescent="0.3">
      <c r="A459" s="1" t="str">
        <f>"16"</f>
        <v>16</v>
      </c>
      <c r="B459" s="4" t="str">
        <f>"ECO CASSE"</f>
        <v>ECO CASSE</v>
      </c>
      <c r="C459" s="4">
        <v>903291581</v>
      </c>
      <c r="D459" s="3" t="s">
        <v>0</v>
      </c>
      <c r="E459" s="2" t="str">
        <f>"7208104"</f>
        <v>7208104</v>
      </c>
      <c r="F459" s="5">
        <v>45071</v>
      </c>
      <c r="G459" s="5">
        <v>54789</v>
      </c>
      <c r="H459" s="4" t="str">
        <f>""</f>
        <v/>
      </c>
      <c r="I459" s="4" t="str">
        <f>""</f>
        <v/>
      </c>
    </row>
    <row r="460" spans="1:9" x14ac:dyDescent="0.3">
      <c r="A460" s="1" t="str">
        <f>"16"</f>
        <v>16</v>
      </c>
      <c r="B460" s="4" t="str">
        <f>"ECO CASSE"</f>
        <v>ECO CASSE</v>
      </c>
      <c r="C460" s="4">
        <v>903291581</v>
      </c>
      <c r="D460" s="3" t="s">
        <v>0</v>
      </c>
      <c r="E460" s="2" t="str">
        <f>"PR930013D"</f>
        <v>PR930013D</v>
      </c>
      <c r="F460" s="5">
        <v>45437</v>
      </c>
      <c r="G460" s="5">
        <v>54789</v>
      </c>
      <c r="H460" s="4" t="str">
        <f>""</f>
        <v/>
      </c>
      <c r="I460" s="4" t="str">
        <f>""</f>
        <v/>
      </c>
    </row>
    <row r="461" spans="1:9" x14ac:dyDescent="0.3">
      <c r="A461" s="1" t="str">
        <f>"16"</f>
        <v>16</v>
      </c>
      <c r="B461" s="4" t="str">
        <f>"ECO CASSE"</f>
        <v>ECO CASSE</v>
      </c>
      <c r="C461" s="4">
        <v>903291581</v>
      </c>
      <c r="D461" s="3" t="s">
        <v>0</v>
      </c>
      <c r="E461" s="2" t="str">
        <f>"0007208104"</f>
        <v>0007208104</v>
      </c>
      <c r="F461" s="5">
        <v>45071</v>
      </c>
      <c r="G461" s="5">
        <v>54789</v>
      </c>
      <c r="H461" s="4" t="str">
        <f>""</f>
        <v/>
      </c>
      <c r="I461" s="4" t="str">
        <f>""</f>
        <v/>
      </c>
    </row>
    <row r="462" spans="1:9" x14ac:dyDescent="0.3">
      <c r="A462" s="1" t="str">
        <f>"16"</f>
        <v>16</v>
      </c>
      <c r="B462" s="4" t="str">
        <f>"RECUPERATION JOSEPH SABATIER BALZAC"</f>
        <v>RECUPERATION JOSEPH SABATIER BALZAC</v>
      </c>
      <c r="C462" s="4">
        <v>918252909</v>
      </c>
      <c r="D462" s="3" t="s">
        <v>0</v>
      </c>
      <c r="E462" s="2" t="str">
        <f>"0007207014"</f>
        <v>0007207014</v>
      </c>
      <c r="F462" s="5">
        <v>44984</v>
      </c>
      <c r="G462" s="5">
        <v>54789</v>
      </c>
      <c r="H462" s="4" t="str">
        <f>""</f>
        <v/>
      </c>
      <c r="I462" s="4" t="str">
        <f>""</f>
        <v/>
      </c>
    </row>
    <row r="463" spans="1:9" x14ac:dyDescent="0.3">
      <c r="A463" s="1" t="str">
        <f>"16"</f>
        <v>16</v>
      </c>
      <c r="B463" s="4" t="str">
        <f>"RECUPERATION JOSEPH SABATIER BALZAC"</f>
        <v>RECUPERATION JOSEPH SABATIER BALZAC</v>
      </c>
      <c r="C463" s="4">
        <v>918252909</v>
      </c>
      <c r="D463" s="3" t="s">
        <v>0</v>
      </c>
      <c r="E463" s="2" t="str">
        <f>"PR1600025D"</f>
        <v>PR1600025D</v>
      </c>
      <c r="F463" s="5">
        <v>44984</v>
      </c>
      <c r="G463" s="5">
        <v>54789</v>
      </c>
      <c r="H463" s="4" t="str">
        <f>""</f>
        <v/>
      </c>
      <c r="I463" s="4" t="str">
        <f>""</f>
        <v/>
      </c>
    </row>
    <row r="464" spans="1:9" x14ac:dyDescent="0.3">
      <c r="A464" s="1" t="str">
        <f>"17"</f>
        <v>17</v>
      </c>
      <c r="B464" s="4" t="str">
        <f>"SARL DEMONT'AUTO"</f>
        <v>SARL DEMONT'AUTO</v>
      </c>
      <c r="C464" s="4">
        <v>327070751</v>
      </c>
      <c r="D464" s="3">
        <v>32707075100018</v>
      </c>
      <c r="E464" s="2" t="str">
        <f>"PR1700018D"</f>
        <v>PR1700018D</v>
      </c>
      <c r="F464" s="5">
        <v>42041</v>
      </c>
      <c r="G464" s="5">
        <v>54789</v>
      </c>
      <c r="H464" s="4" t="str">
        <f>""</f>
        <v/>
      </c>
      <c r="I464" s="4" t="str">
        <f>""</f>
        <v/>
      </c>
    </row>
    <row r="465" spans="1:9" x14ac:dyDescent="0.3">
      <c r="A465" s="1" t="str">
        <f>"17"</f>
        <v>17</v>
      </c>
      <c r="B465" s="4" t="str">
        <f>"SARL DEMONT'AUTO"</f>
        <v>SARL DEMONT'AUTO</v>
      </c>
      <c r="C465" s="4">
        <v>327070751</v>
      </c>
      <c r="D465" s="3">
        <v>32707075100018</v>
      </c>
      <c r="E465" s="2" t="str">
        <f>"0007204243"</f>
        <v>0007204243</v>
      </c>
      <c r="F465" s="5">
        <v>42041</v>
      </c>
      <c r="G465" s="5">
        <v>54789</v>
      </c>
      <c r="H465" s="4" t="str">
        <f>""</f>
        <v/>
      </c>
      <c r="I465" s="4" t="str">
        <f>""</f>
        <v/>
      </c>
    </row>
    <row r="466" spans="1:9" x14ac:dyDescent="0.3">
      <c r="A466" s="1" t="str">
        <f>"17"</f>
        <v>17</v>
      </c>
      <c r="B466" s="4" t="str">
        <f>"SARL VM AUTOMATERIELS"</f>
        <v>SARL VM AUTOMATERIELS</v>
      </c>
      <c r="C466" s="4">
        <v>329879019</v>
      </c>
      <c r="D466" s="3">
        <v>32987901900035</v>
      </c>
      <c r="E466" s="2" t="str">
        <f>"PR1700011D"</f>
        <v>PR1700011D</v>
      </c>
      <c r="F466" s="5">
        <v>43286</v>
      </c>
      <c r="G466" s="5">
        <v>54789</v>
      </c>
      <c r="H466" s="4" t="str">
        <f>""</f>
        <v/>
      </c>
      <c r="I466" s="4" t="str">
        <f>""</f>
        <v/>
      </c>
    </row>
    <row r="467" spans="1:9" x14ac:dyDescent="0.3">
      <c r="A467" s="1" t="str">
        <f>"17"</f>
        <v>17</v>
      </c>
      <c r="B467" s="4" t="str">
        <f>"SARL VM AUTOMATERIELS"</f>
        <v>SARL VM AUTOMATERIELS</v>
      </c>
      <c r="C467" s="4">
        <v>329879019</v>
      </c>
      <c r="D467" s="3">
        <v>32987901900035</v>
      </c>
      <c r="E467" s="2" t="str">
        <f>"0007206447"</f>
        <v>0007206447</v>
      </c>
      <c r="F467" s="5">
        <v>43286</v>
      </c>
      <c r="G467" s="5">
        <v>54789</v>
      </c>
      <c r="H467" s="4" t="str">
        <f>""</f>
        <v/>
      </c>
      <c r="I467" s="4" t="str">
        <f>""</f>
        <v/>
      </c>
    </row>
    <row r="468" spans="1:9" x14ac:dyDescent="0.3">
      <c r="A468" s="1" t="str">
        <f>"17"</f>
        <v>17</v>
      </c>
      <c r="B468" s="4" t="str">
        <f>"SA AFM RECYCLAGE"</f>
        <v>SA AFM RECYCLAGE</v>
      </c>
      <c r="C468" s="4">
        <v>383482635</v>
      </c>
      <c r="D468" s="3">
        <v>38348263500794</v>
      </c>
      <c r="E468" s="2" t="str">
        <f>"PF1700014D"</f>
        <v>PF1700014D</v>
      </c>
      <c r="F468" s="5">
        <v>45043</v>
      </c>
      <c r="G468" s="5">
        <v>54789</v>
      </c>
      <c r="H468" s="4" t="str">
        <f>""</f>
        <v/>
      </c>
      <c r="I468" s="4" t="str">
        <f>""</f>
        <v/>
      </c>
    </row>
    <row r="469" spans="1:9" x14ac:dyDescent="0.3">
      <c r="A469" s="1" t="str">
        <f>"17"</f>
        <v>17</v>
      </c>
      <c r="B469" s="4" t="str">
        <f>"SA AFM RECYCLAGE"</f>
        <v>SA AFM RECYCLAGE</v>
      </c>
      <c r="C469" s="4">
        <v>383482635</v>
      </c>
      <c r="D469" s="3">
        <v>38348263500794</v>
      </c>
      <c r="E469" s="2" t="str">
        <f>"0007201486"</f>
        <v>0007201486</v>
      </c>
      <c r="F469" s="5">
        <v>45043</v>
      </c>
      <c r="G469" s="5">
        <v>54789</v>
      </c>
      <c r="H469" s="4" t="str">
        <f>""</f>
        <v/>
      </c>
      <c r="I469" s="4" t="str">
        <f>""</f>
        <v/>
      </c>
    </row>
    <row r="470" spans="1:9" x14ac:dyDescent="0.3">
      <c r="A470" s="1" t="str">
        <f>"17"</f>
        <v>17</v>
      </c>
      <c r="B470" s="4" t="str">
        <f>"SARL OPAL"</f>
        <v>SARL OPAL</v>
      </c>
      <c r="C470" s="4">
        <v>398963975</v>
      </c>
      <c r="D470" s="3">
        <v>39896397500014</v>
      </c>
      <c r="E470" s="2" t="str">
        <f>"PR1700002D"</f>
        <v>PR1700002D</v>
      </c>
      <c r="F470" s="5">
        <v>43154</v>
      </c>
      <c r="G470" s="5">
        <v>54789</v>
      </c>
      <c r="H470" s="4" t="str">
        <f>""</f>
        <v/>
      </c>
      <c r="I470" s="4" t="str">
        <f>""</f>
        <v/>
      </c>
    </row>
    <row r="471" spans="1:9" x14ac:dyDescent="0.3">
      <c r="A471" s="1" t="str">
        <f>"17"</f>
        <v>17</v>
      </c>
      <c r="B471" s="4" t="str">
        <f>"SARL OPAL"</f>
        <v>SARL OPAL</v>
      </c>
      <c r="C471" s="4">
        <v>398963975</v>
      </c>
      <c r="D471" s="3">
        <v>39896397500014</v>
      </c>
      <c r="E471" s="2" t="str">
        <f>"0007204011"</f>
        <v>0007204011</v>
      </c>
      <c r="F471" s="5">
        <v>43154</v>
      </c>
      <c r="G471" s="5">
        <v>54789</v>
      </c>
      <c r="H471" s="4" t="str">
        <f>""</f>
        <v/>
      </c>
      <c r="I471" s="4" t="str">
        <f>""</f>
        <v/>
      </c>
    </row>
    <row r="472" spans="1:9" x14ac:dyDescent="0.3">
      <c r="A472" s="1" t="str">
        <f>"17"</f>
        <v>17</v>
      </c>
      <c r="B472" s="4" t="str">
        <f>"SARL PROUST ETS"</f>
        <v>SARL PROUST ETS</v>
      </c>
      <c r="C472" s="4">
        <v>402318760</v>
      </c>
      <c r="D472" s="3">
        <v>40231876000012</v>
      </c>
      <c r="E472" s="2" t="str">
        <f>"PR1700003D"</f>
        <v>PR1700003D</v>
      </c>
      <c r="F472" s="5">
        <v>43236</v>
      </c>
      <c r="G472" s="5">
        <v>54789</v>
      </c>
      <c r="H472" s="4" t="str">
        <f>""</f>
        <v/>
      </c>
      <c r="I472" s="4" t="str">
        <f>""</f>
        <v/>
      </c>
    </row>
    <row r="473" spans="1:9" x14ac:dyDescent="0.3">
      <c r="A473" s="1" t="str">
        <f>"17"</f>
        <v>17</v>
      </c>
      <c r="B473" s="4" t="str">
        <f>"SARL PROUST ETS"</f>
        <v>SARL PROUST ETS</v>
      </c>
      <c r="C473" s="4">
        <v>402318760</v>
      </c>
      <c r="D473" s="3">
        <v>40231876000012</v>
      </c>
      <c r="E473" s="2" t="str">
        <f>"0007206809"</f>
        <v>0007206809</v>
      </c>
      <c r="F473" s="5">
        <v>43236</v>
      </c>
      <c r="G473" s="5">
        <v>54789</v>
      </c>
      <c r="H473" s="4" t="str">
        <f>""</f>
        <v/>
      </c>
      <c r="I473" s="4" t="str">
        <f>""</f>
        <v/>
      </c>
    </row>
    <row r="474" spans="1:9" x14ac:dyDescent="0.3">
      <c r="A474" s="1" t="str">
        <f>"17"</f>
        <v>17</v>
      </c>
      <c r="B474" s="4" t="str">
        <f>"SAS AUTOS PIECES SYLVAIN"</f>
        <v>SAS AUTOS PIECES SYLVAIN</v>
      </c>
      <c r="C474" s="4">
        <v>415289073</v>
      </c>
      <c r="D474" s="3">
        <v>41528907300017</v>
      </c>
      <c r="E474" s="2" t="str">
        <f>"PR1700004D"</f>
        <v>PR1700004D</v>
      </c>
      <c r="F474" s="5">
        <v>42395</v>
      </c>
      <c r="G474" s="5">
        <v>54789</v>
      </c>
      <c r="H474" s="4" t="str">
        <f>""</f>
        <v/>
      </c>
      <c r="I474" s="4" t="str">
        <f>""</f>
        <v/>
      </c>
    </row>
    <row r="475" spans="1:9" x14ac:dyDescent="0.3">
      <c r="A475" s="1" t="str">
        <f>"17"</f>
        <v>17</v>
      </c>
      <c r="B475" s="4" t="str">
        <f>"SAS AUTOS PIECES SYLVAIN"</f>
        <v>SAS AUTOS PIECES SYLVAIN</v>
      </c>
      <c r="C475" s="4">
        <v>415289073</v>
      </c>
      <c r="D475" s="3">
        <v>41528907300017</v>
      </c>
      <c r="E475" s="2" t="str">
        <f>"0007203814"</f>
        <v>0007203814</v>
      </c>
      <c r="F475" s="5">
        <v>42395</v>
      </c>
      <c r="G475" s="5">
        <v>54789</v>
      </c>
      <c r="H475" s="4" t="str">
        <f>""</f>
        <v/>
      </c>
      <c r="I475" s="4" t="str">
        <f>""</f>
        <v/>
      </c>
    </row>
    <row r="476" spans="1:9" x14ac:dyDescent="0.3">
      <c r="A476" s="1" t="str">
        <f>"17"</f>
        <v>17</v>
      </c>
      <c r="B476" s="4" t="str">
        <f>"SAS SOC INDUSTRIELLE RECUP METAUX (Sigle SIRMET)"</f>
        <v>SAS SOC INDUSTRIELLE RECUP METAUX (Sigle SIRMET)</v>
      </c>
      <c r="C476" s="4">
        <v>432383321</v>
      </c>
      <c r="D476" s="3">
        <v>43238332100143</v>
      </c>
      <c r="E476" s="2" t="str">
        <f>"PR1700017D"</f>
        <v>PR1700017D</v>
      </c>
      <c r="F476" s="5">
        <v>44477</v>
      </c>
      <c r="G476" s="5">
        <v>54789</v>
      </c>
      <c r="H476" s="4" t="str">
        <f>""</f>
        <v/>
      </c>
      <c r="I476" s="4" t="str">
        <f>""</f>
        <v/>
      </c>
    </row>
    <row r="477" spans="1:9" x14ac:dyDescent="0.3">
      <c r="A477" s="1" t="str">
        <f>"17"</f>
        <v>17</v>
      </c>
      <c r="B477" s="4" t="str">
        <f>"SAS SOC INDUSTRIELLE RECUP METAUX (Sigle SIRMET)"</f>
        <v>SAS SOC INDUSTRIELLE RECUP METAUX (Sigle SIRMET)</v>
      </c>
      <c r="C477" s="4">
        <v>432383321</v>
      </c>
      <c r="D477" s="3">
        <v>43238332100143</v>
      </c>
      <c r="E477" s="2" t="str">
        <f>"0007207305"</f>
        <v>0007207305</v>
      </c>
      <c r="F477" s="5">
        <v>44477</v>
      </c>
      <c r="G477" s="5">
        <v>54789</v>
      </c>
      <c r="H477" s="4" t="str">
        <f>""</f>
        <v/>
      </c>
      <c r="I477" s="4" t="str">
        <f>""</f>
        <v/>
      </c>
    </row>
    <row r="478" spans="1:9" x14ac:dyDescent="0.3">
      <c r="A478" s="1" t="str">
        <f>"17"</f>
        <v>17</v>
      </c>
      <c r="B478" s="4" t="str">
        <f>"SAS RE-SOURCE INDUSTRIES 17"</f>
        <v>SAS RE-SOURCE INDUSTRIES 17</v>
      </c>
      <c r="C478" s="4">
        <v>499102044</v>
      </c>
      <c r="D478" s="3">
        <v>49910204400017</v>
      </c>
      <c r="E478" s="2" t="str">
        <f>"PR1700009D"</f>
        <v>PR1700009D</v>
      </c>
      <c r="F478" s="5">
        <v>43304</v>
      </c>
      <c r="G478" s="5">
        <v>54789</v>
      </c>
      <c r="H478" s="4" t="str">
        <f>""</f>
        <v/>
      </c>
      <c r="I478" s="4" t="str">
        <f>""</f>
        <v/>
      </c>
    </row>
    <row r="479" spans="1:9" x14ac:dyDescent="0.3">
      <c r="A479" s="1" t="str">
        <f>"17"</f>
        <v>17</v>
      </c>
      <c r="B479" s="4" t="str">
        <f>"SAS RE-SOURCE INDUSTRIES 17"</f>
        <v>SAS RE-SOURCE INDUSTRIES 17</v>
      </c>
      <c r="C479" s="4">
        <v>499102044</v>
      </c>
      <c r="D479" s="3">
        <v>49910204400017</v>
      </c>
      <c r="E479" s="2" t="str">
        <f>"0007202078"</f>
        <v>0007202078</v>
      </c>
      <c r="F479" s="5">
        <v>43304</v>
      </c>
      <c r="G479" s="5">
        <v>54789</v>
      </c>
      <c r="H479" s="4" t="str">
        <f>""</f>
        <v/>
      </c>
      <c r="I479" s="4" t="str">
        <f>""</f>
        <v/>
      </c>
    </row>
    <row r="480" spans="1:9" x14ac:dyDescent="0.3">
      <c r="A480" s="1" t="str">
        <f>"17"</f>
        <v>17</v>
      </c>
      <c r="B480" s="4" t="str">
        <f>"Société JAMOT"</f>
        <v>Société JAMOT</v>
      </c>
      <c r="C480" s="4">
        <v>499102044</v>
      </c>
      <c r="D480" s="3">
        <v>49910204400025</v>
      </c>
      <c r="E480" s="2" t="str">
        <f>"PR1700012D"</f>
        <v>PR1700012D</v>
      </c>
      <c r="F480" s="5">
        <v>45447</v>
      </c>
      <c r="G480" s="5">
        <v>54789</v>
      </c>
      <c r="H480" s="4" t="str">
        <f>""</f>
        <v/>
      </c>
      <c r="I480" s="4" t="str">
        <f>""</f>
        <v/>
      </c>
    </row>
    <row r="481" spans="1:9" x14ac:dyDescent="0.3">
      <c r="A481" s="1" t="str">
        <f>"17"</f>
        <v>17</v>
      </c>
      <c r="B481" s="4" t="str">
        <f>"Société JAMOT"</f>
        <v>Société JAMOT</v>
      </c>
      <c r="C481" s="4">
        <v>499102044</v>
      </c>
      <c r="D481" s="3">
        <v>49910204400025</v>
      </c>
      <c r="E481" s="2" t="str">
        <f>"0007202524"</f>
        <v>0007202524</v>
      </c>
      <c r="F481" s="5">
        <v>45447</v>
      </c>
      <c r="G481" s="5">
        <v>54789</v>
      </c>
      <c r="H481" s="4" t="str">
        <f>""</f>
        <v/>
      </c>
      <c r="I481" s="4" t="str">
        <f>""</f>
        <v/>
      </c>
    </row>
    <row r="482" spans="1:9" x14ac:dyDescent="0.3">
      <c r="A482" s="1" t="str">
        <f>"17"</f>
        <v>17</v>
      </c>
      <c r="B482" s="4" t="str">
        <f>"SAS M H R RECUPERATIONS"</f>
        <v>SAS M H R RECUPERATIONS</v>
      </c>
      <c r="C482" s="4">
        <v>502397235</v>
      </c>
      <c r="D482" s="3">
        <v>50239723500024</v>
      </c>
      <c r="E482" s="2" t="str">
        <f>"PR1700024D"</f>
        <v>PR1700024D</v>
      </c>
      <c r="F482" s="5">
        <v>42669</v>
      </c>
      <c r="G482" s="5">
        <v>54789</v>
      </c>
      <c r="H482" s="4" t="str">
        <f>""</f>
        <v/>
      </c>
      <c r="I482" s="4" t="str">
        <f>""</f>
        <v/>
      </c>
    </row>
    <row r="483" spans="1:9" x14ac:dyDescent="0.3">
      <c r="A483" s="1" t="str">
        <f>"17"</f>
        <v>17</v>
      </c>
      <c r="B483" s="4" t="str">
        <f>"SAS M H R RECUPERATIONS"</f>
        <v>SAS M H R RECUPERATIONS</v>
      </c>
      <c r="C483" s="4">
        <v>502397235</v>
      </c>
      <c r="D483" s="3">
        <v>50239723500024</v>
      </c>
      <c r="E483" s="2" t="str">
        <f>"0007211233"</f>
        <v>0007211233</v>
      </c>
      <c r="F483" s="5">
        <v>42669</v>
      </c>
      <c r="G483" s="5">
        <v>54789</v>
      </c>
      <c r="H483" s="4" t="str">
        <f>""</f>
        <v/>
      </c>
      <c r="I483" s="4" t="str">
        <f>""</f>
        <v/>
      </c>
    </row>
    <row r="484" spans="1:9" x14ac:dyDescent="0.3">
      <c r="A484" s="1" t="str">
        <f>"17"</f>
        <v>17</v>
      </c>
      <c r="B484" s="4" t="str">
        <f>"SARL CASSE AUTO CHEVALIER"</f>
        <v>SARL CASSE AUTO CHEVALIER</v>
      </c>
      <c r="C484" s="4">
        <v>512122706</v>
      </c>
      <c r="D484" s="3">
        <v>51212270600017</v>
      </c>
      <c r="E484" s="2" t="str">
        <f>"0007205090"</f>
        <v>0007205090</v>
      </c>
      <c r="F484" s="5">
        <v>43167</v>
      </c>
      <c r="G484" s="5">
        <v>54789</v>
      </c>
      <c r="H484" s="4" t="str">
        <f>""</f>
        <v/>
      </c>
      <c r="I484" s="4" t="str">
        <f>""</f>
        <v/>
      </c>
    </row>
    <row r="485" spans="1:9" x14ac:dyDescent="0.3">
      <c r="A485" s="1" t="str">
        <f>"17"</f>
        <v>17</v>
      </c>
      <c r="B485" s="4" t="str">
        <f>"SARL CASSE AUTO CHEVALIER"</f>
        <v>SARL CASSE AUTO CHEVALIER</v>
      </c>
      <c r="C485" s="4">
        <v>512122706</v>
      </c>
      <c r="D485" s="3">
        <v>51212270600017</v>
      </c>
      <c r="E485" s="2" t="str">
        <f>"PR1700001D"</f>
        <v>PR1700001D</v>
      </c>
      <c r="F485" s="5">
        <v>43167</v>
      </c>
      <c r="G485" s="5">
        <v>54789</v>
      </c>
      <c r="H485" s="4" t="str">
        <f>""</f>
        <v/>
      </c>
      <c r="I485" s="4" t="str">
        <f>""</f>
        <v/>
      </c>
    </row>
    <row r="486" spans="1:9" x14ac:dyDescent="0.3">
      <c r="A486" s="1" t="str">
        <f>"17"</f>
        <v>17</v>
      </c>
      <c r="B486" s="4" t="str">
        <f>"SAS RACHETE FOURNI NEGOCE (Sigle RFN)"</f>
        <v>SAS RACHETE FOURNI NEGOCE (Sigle RFN)</v>
      </c>
      <c r="C486" s="4">
        <v>792815722</v>
      </c>
      <c r="D486" s="3">
        <v>79281572200014</v>
      </c>
      <c r="E486" s="2" t="str">
        <f>"PR1700022D"</f>
        <v>PR1700022D</v>
      </c>
      <c r="F486" s="5">
        <v>41828</v>
      </c>
      <c r="G486" s="5">
        <v>54789</v>
      </c>
      <c r="H486" s="4" t="str">
        <f>""</f>
        <v/>
      </c>
      <c r="I486" s="4" t="str">
        <f>""</f>
        <v/>
      </c>
    </row>
    <row r="487" spans="1:9" x14ac:dyDescent="0.3">
      <c r="A487" s="1" t="str">
        <f>"17"</f>
        <v>17</v>
      </c>
      <c r="B487" s="4" t="str">
        <f>"SAS RACHETE FOURNI NEGOCE (Sigle RFN)"</f>
        <v>SAS RACHETE FOURNI NEGOCE (Sigle RFN)</v>
      </c>
      <c r="C487" s="4">
        <v>792815722</v>
      </c>
      <c r="D487" s="3">
        <v>79281572200014</v>
      </c>
      <c r="E487" s="2" t="str">
        <f>"0007207684"</f>
        <v>0007207684</v>
      </c>
      <c r="F487" s="5">
        <v>41828</v>
      </c>
      <c r="G487" s="5">
        <v>54789</v>
      </c>
      <c r="H487" s="4" t="str">
        <f>""</f>
        <v/>
      </c>
      <c r="I487" s="4" t="str">
        <f>""</f>
        <v/>
      </c>
    </row>
    <row r="488" spans="1:9" x14ac:dyDescent="0.3">
      <c r="A488" s="1" t="str">
        <f>"17"</f>
        <v>17</v>
      </c>
      <c r="B488" s="4" t="str">
        <f>"SAS RFN RECYCLAGE"</f>
        <v>SAS RFN RECYCLAGE</v>
      </c>
      <c r="C488" s="4">
        <v>832174288</v>
      </c>
      <c r="D488" s="3">
        <v>83217428800015</v>
      </c>
      <c r="E488" s="2" t="str">
        <f>"PR1700025D"</f>
        <v>PR1700025D</v>
      </c>
      <c r="F488" s="5">
        <v>44414</v>
      </c>
      <c r="G488" s="5">
        <v>54789</v>
      </c>
      <c r="H488" s="4" t="str">
        <f>""</f>
        <v/>
      </c>
      <c r="I488" s="4" t="str">
        <f>""</f>
        <v/>
      </c>
    </row>
    <row r="489" spans="1:9" x14ac:dyDescent="0.3">
      <c r="A489" s="1" t="str">
        <f>"17"</f>
        <v>17</v>
      </c>
      <c r="B489" s="4" t="str">
        <f>"SAS RFN RECYCLAGE"</f>
        <v>SAS RFN RECYCLAGE</v>
      </c>
      <c r="C489" s="4">
        <v>832174288</v>
      </c>
      <c r="D489" s="3">
        <v>83217428800015</v>
      </c>
      <c r="E489" s="2" t="str">
        <f>"0003104116"</f>
        <v>0003104116</v>
      </c>
      <c r="F489" s="5">
        <v>44414</v>
      </c>
      <c r="G489" s="5">
        <v>54789</v>
      </c>
      <c r="H489" s="4" t="str">
        <f>""</f>
        <v/>
      </c>
      <c r="I489" s="4" t="str">
        <f>""</f>
        <v/>
      </c>
    </row>
    <row r="490" spans="1:9" x14ac:dyDescent="0.3">
      <c r="A490" s="1" t="str">
        <f>"17"</f>
        <v>17</v>
      </c>
      <c r="B490" s="4" t="str">
        <f>"SAS DECONS ATLANTIQUE"</f>
        <v>SAS DECONS ATLANTIQUE</v>
      </c>
      <c r="C490" s="4">
        <v>832222517</v>
      </c>
      <c r="D490" s="3">
        <v>83222251700019</v>
      </c>
      <c r="E490" s="2" t="str">
        <f>"PR1700007D"</f>
        <v>PR1700007D</v>
      </c>
      <c r="F490" s="5">
        <v>43430</v>
      </c>
      <c r="G490" s="5">
        <v>54789</v>
      </c>
      <c r="H490" s="4" t="str">
        <f>""</f>
        <v/>
      </c>
      <c r="I490" s="4" t="str">
        <f>""</f>
        <v/>
      </c>
    </row>
    <row r="491" spans="1:9" x14ac:dyDescent="0.3">
      <c r="A491" s="1" t="str">
        <f>"17"</f>
        <v>17</v>
      </c>
      <c r="B491" s="4" t="str">
        <f>"SAS DECONS ATLANTIQUE"</f>
        <v>SAS DECONS ATLANTIQUE</v>
      </c>
      <c r="C491" s="4">
        <v>832222517</v>
      </c>
      <c r="D491" s="3">
        <v>83222251700019</v>
      </c>
      <c r="E491" s="2" t="str">
        <f>"0007202079"</f>
        <v>0007202079</v>
      </c>
      <c r="F491" s="5">
        <v>43430</v>
      </c>
      <c r="G491" s="5">
        <v>54789</v>
      </c>
      <c r="H491" s="4" t="str">
        <f>""</f>
        <v/>
      </c>
      <c r="I491" s="4" t="str">
        <f>""</f>
        <v/>
      </c>
    </row>
    <row r="492" spans="1:9" x14ac:dyDescent="0.3">
      <c r="A492" s="1" t="str">
        <f>"17"</f>
        <v>17</v>
      </c>
      <c r="B492" s="4" t="str">
        <f>"SARL AUTO PIECES CHAMBON"</f>
        <v>SARL AUTO PIECES CHAMBON</v>
      </c>
      <c r="C492" s="4">
        <v>832837660</v>
      </c>
      <c r="D492" s="3">
        <v>83283766000014</v>
      </c>
      <c r="E492" s="2" t="str">
        <f>"PR1700013D"</f>
        <v>PR1700013D</v>
      </c>
      <c r="F492" s="5">
        <v>43175</v>
      </c>
      <c r="G492" s="5">
        <v>54789</v>
      </c>
      <c r="H492" s="4" t="str">
        <f>""</f>
        <v/>
      </c>
      <c r="I492" s="4" t="str">
        <f>""</f>
        <v/>
      </c>
    </row>
    <row r="493" spans="1:9" x14ac:dyDescent="0.3">
      <c r="A493" s="1" t="str">
        <f>"17"</f>
        <v>17</v>
      </c>
      <c r="B493" s="4" t="str">
        <f>"SARL AUTO PIECES CHAMBON"</f>
        <v>SARL AUTO PIECES CHAMBON</v>
      </c>
      <c r="C493" s="4">
        <v>832837660</v>
      </c>
      <c r="D493" s="3">
        <v>83283766000014</v>
      </c>
      <c r="E493" s="2" t="str">
        <f>"0007202507"</f>
        <v>0007202507</v>
      </c>
      <c r="F493" s="5">
        <v>43175</v>
      </c>
      <c r="G493" s="5">
        <v>54789</v>
      </c>
      <c r="H493" s="4" t="str">
        <f>""</f>
        <v/>
      </c>
      <c r="I493" s="4" t="str">
        <f>""</f>
        <v/>
      </c>
    </row>
    <row r="494" spans="1:9" x14ac:dyDescent="0.3">
      <c r="A494" s="1" t="str">
        <f>"17"</f>
        <v>17</v>
      </c>
      <c r="B494" s="4" t="str">
        <f>"SAS SOULIGNONNE AUTO CASSE (SAC)"</f>
        <v>SAS SOULIGNONNE AUTO CASSE (SAC)</v>
      </c>
      <c r="C494" s="4">
        <v>890352966</v>
      </c>
      <c r="D494" s="3">
        <v>89035296600018</v>
      </c>
      <c r="E494" s="2" t="str">
        <f>"PR1700008D"</f>
        <v>PR1700008D</v>
      </c>
      <c r="F494" s="5">
        <v>44197</v>
      </c>
      <c r="G494" s="5">
        <v>54789</v>
      </c>
      <c r="H494" s="4" t="str">
        <f>""</f>
        <v/>
      </c>
      <c r="I494" s="4" t="str">
        <f>""</f>
        <v/>
      </c>
    </row>
    <row r="495" spans="1:9" x14ac:dyDescent="0.3">
      <c r="A495" s="1" t="str">
        <f>"17"</f>
        <v>17</v>
      </c>
      <c r="B495" s="4" t="str">
        <f>"SAS SOULIGNONNE AUTO CASSE (SAC)"</f>
        <v>SAS SOULIGNONNE AUTO CASSE (SAC)</v>
      </c>
      <c r="C495" s="4">
        <v>890352966</v>
      </c>
      <c r="D495" s="3">
        <v>89035296600018</v>
      </c>
      <c r="E495" s="2" t="str">
        <f>"0007206942"</f>
        <v>0007206942</v>
      </c>
      <c r="F495" s="5">
        <v>44197</v>
      </c>
      <c r="G495" s="5">
        <v>54789</v>
      </c>
      <c r="H495" s="4" t="str">
        <f>""</f>
        <v/>
      </c>
      <c r="I495" s="4" t="str">
        <f>""</f>
        <v/>
      </c>
    </row>
    <row r="496" spans="1:9" x14ac:dyDescent="0.3">
      <c r="A496" s="1" t="str">
        <f>"17"</f>
        <v>17</v>
      </c>
      <c r="B496" s="4" t="str">
        <f>"SAS TRENTETROIS"</f>
        <v>SAS TRENTETROIS</v>
      </c>
      <c r="C496" s="4">
        <v>918702531</v>
      </c>
      <c r="D496" s="3">
        <v>91870253100065</v>
      </c>
      <c r="E496" s="2" t="str">
        <f>"PR1700006D"</f>
        <v>PR1700006D</v>
      </c>
      <c r="F496" s="5">
        <v>44953</v>
      </c>
      <c r="G496" s="5">
        <v>54789</v>
      </c>
      <c r="H496" s="4" t="str">
        <f>""</f>
        <v/>
      </c>
      <c r="I496" s="4" t="str">
        <f>""</f>
        <v/>
      </c>
    </row>
    <row r="497" spans="1:9" x14ac:dyDescent="0.3">
      <c r="A497" s="1" t="str">
        <f>"17"</f>
        <v>17</v>
      </c>
      <c r="B497" s="4" t="str">
        <f>"SAS TRENTETROIS"</f>
        <v>SAS TRENTETROIS</v>
      </c>
      <c r="C497" s="4">
        <v>918702531</v>
      </c>
      <c r="D497" s="3">
        <v>91870253100065</v>
      </c>
      <c r="E497" s="2" t="str">
        <f>"0007202080"</f>
        <v>0007202080</v>
      </c>
      <c r="F497" s="5">
        <v>44953</v>
      </c>
      <c r="G497" s="5">
        <v>54789</v>
      </c>
      <c r="H497" s="4" t="str">
        <f>""</f>
        <v/>
      </c>
      <c r="I497" s="4" t="str">
        <f>""</f>
        <v/>
      </c>
    </row>
    <row r="498" spans="1:9" x14ac:dyDescent="0.3">
      <c r="A498" s="1" t="str">
        <f>"18"</f>
        <v>18</v>
      </c>
      <c r="B498" s="4" t="str">
        <f>"ETS FAIVRE"</f>
        <v>ETS FAIVRE</v>
      </c>
      <c r="C498" s="4">
        <v>383741980</v>
      </c>
      <c r="D498" s="3" t="s">
        <v>0</v>
      </c>
      <c r="E498" s="2" t="str">
        <f>"PR1800009D"</f>
        <v>PR1800009D</v>
      </c>
      <c r="F498" s="5">
        <v>41857</v>
      </c>
      <c r="G498" s="5">
        <v>54789</v>
      </c>
      <c r="H498" s="4" t="str">
        <f>""</f>
        <v/>
      </c>
      <c r="I498" s="4" t="str">
        <f>""</f>
        <v/>
      </c>
    </row>
    <row r="499" spans="1:9" x14ac:dyDescent="0.3">
      <c r="A499" s="1" t="str">
        <f>"18"</f>
        <v>18</v>
      </c>
      <c r="B499" s="4" t="str">
        <f>"ETS FAIVRE"</f>
        <v>ETS FAIVRE</v>
      </c>
      <c r="C499" s="4">
        <v>383741980</v>
      </c>
      <c r="D499" s="3" t="s">
        <v>0</v>
      </c>
      <c r="E499" s="2" t="str">
        <f>"0010010255"</f>
        <v>0010010255</v>
      </c>
      <c r="F499" s="5">
        <v>41857</v>
      </c>
      <c r="G499" s="5">
        <v>54789</v>
      </c>
      <c r="H499" s="4" t="str">
        <f>""</f>
        <v/>
      </c>
      <c r="I499" s="4" t="str">
        <f>""</f>
        <v/>
      </c>
    </row>
    <row r="500" spans="1:9" x14ac:dyDescent="0.3">
      <c r="A500" s="1" t="str">
        <f>"18"</f>
        <v>18</v>
      </c>
      <c r="B500" s="4" t="str">
        <f>"SOCIETE FUSSY PIECES AUTOS"</f>
        <v>SOCIETE FUSSY PIECES AUTOS</v>
      </c>
      <c r="C500" s="4">
        <v>392870416</v>
      </c>
      <c r="D500" s="3" t="s">
        <v>0</v>
      </c>
      <c r="E500" s="2" t="str">
        <f>"PR1800002D"</f>
        <v>PR1800002D</v>
      </c>
      <c r="F500" s="5">
        <v>38856</v>
      </c>
      <c r="G500" s="5">
        <v>54789</v>
      </c>
      <c r="H500" s="4" t="str">
        <f>""</f>
        <v/>
      </c>
      <c r="I500" s="4" t="str">
        <f>""</f>
        <v/>
      </c>
    </row>
    <row r="501" spans="1:9" x14ac:dyDescent="0.3">
      <c r="A501" s="1" t="str">
        <f>"18"</f>
        <v>18</v>
      </c>
      <c r="B501" s="4" t="str">
        <f>"SOCIETE FUSSY PIECES AUTOS"</f>
        <v>SOCIETE FUSSY PIECES AUTOS</v>
      </c>
      <c r="C501" s="4">
        <v>392870416</v>
      </c>
      <c r="D501" s="3" t="s">
        <v>0</v>
      </c>
      <c r="E501" s="2" t="str">
        <f>"0010001976"</f>
        <v>0010001976</v>
      </c>
      <c r="F501" s="5">
        <v>38856</v>
      </c>
      <c r="G501" s="5">
        <v>54789</v>
      </c>
      <c r="H501" s="4" t="str">
        <f>""</f>
        <v/>
      </c>
      <c r="I501" s="4" t="str">
        <f>""</f>
        <v/>
      </c>
    </row>
    <row r="502" spans="1:9" x14ac:dyDescent="0.3">
      <c r="A502" s="1" t="str">
        <f>"18"</f>
        <v>18</v>
      </c>
      <c r="B502" s="4" t="str">
        <f>"SOCIETE CRPA"</f>
        <v>SOCIETE CRPA</v>
      </c>
      <c r="C502" s="4">
        <v>429488083</v>
      </c>
      <c r="D502" s="3" t="s">
        <v>0</v>
      </c>
      <c r="E502" s="2" t="str">
        <f>"0010009937"</f>
        <v>0010009937</v>
      </c>
      <c r="F502" s="5">
        <v>41235</v>
      </c>
      <c r="G502" s="5">
        <v>54789</v>
      </c>
      <c r="H502" s="4" t="str">
        <f>""</f>
        <v/>
      </c>
      <c r="I502" s="4" t="str">
        <f>""</f>
        <v/>
      </c>
    </row>
    <row r="503" spans="1:9" x14ac:dyDescent="0.3">
      <c r="A503" s="1" t="str">
        <f>"18"</f>
        <v>18</v>
      </c>
      <c r="B503" s="4" t="str">
        <f>"SOCIETE CRPA"</f>
        <v>SOCIETE CRPA</v>
      </c>
      <c r="C503" s="4">
        <v>429488083</v>
      </c>
      <c r="D503" s="3" t="s">
        <v>0</v>
      </c>
      <c r="E503" s="2" t="str">
        <f>"PR1800007D"</f>
        <v>PR1800007D</v>
      </c>
      <c r="F503" s="5">
        <v>41235</v>
      </c>
      <c r="G503" s="5">
        <v>54789</v>
      </c>
      <c r="H503" s="4" t="str">
        <f>""</f>
        <v/>
      </c>
      <c r="I503" s="4" t="str">
        <f>""</f>
        <v/>
      </c>
    </row>
    <row r="504" spans="1:9" x14ac:dyDescent="0.3">
      <c r="A504" s="1" t="str">
        <f>"18"</f>
        <v>18</v>
      </c>
      <c r="B504" s="4" t="str">
        <f>"SARL CHATREIX"</f>
        <v>SARL CHATREIX</v>
      </c>
      <c r="C504" s="4">
        <v>445210271</v>
      </c>
      <c r="D504" s="3" t="s">
        <v>0</v>
      </c>
      <c r="E504" s="2" t="str">
        <f>"PR1800001D"</f>
        <v>PR1800001D</v>
      </c>
      <c r="F504" s="5">
        <v>38859</v>
      </c>
      <c r="G504" s="5">
        <v>54789</v>
      </c>
      <c r="H504" s="4" t="str">
        <f>""</f>
        <v/>
      </c>
      <c r="I504" s="4" t="str">
        <f>""</f>
        <v/>
      </c>
    </row>
    <row r="505" spans="1:9" x14ac:dyDescent="0.3">
      <c r="A505" s="1" t="str">
        <f>"18"</f>
        <v>18</v>
      </c>
      <c r="B505" s="4" t="str">
        <f>"SARL CHATREIX"</f>
        <v>SARL CHATREIX</v>
      </c>
      <c r="C505" s="4">
        <v>445210271</v>
      </c>
      <c r="D505" s="3" t="s">
        <v>0</v>
      </c>
      <c r="E505" s="2" t="str">
        <f>"0010002245"</f>
        <v>0010002245</v>
      </c>
      <c r="F505" s="5">
        <v>38859</v>
      </c>
      <c r="G505" s="5">
        <v>54789</v>
      </c>
      <c r="H505" s="4" t="str">
        <f>""</f>
        <v/>
      </c>
      <c r="I505" s="4" t="str">
        <f>""</f>
        <v/>
      </c>
    </row>
    <row r="506" spans="1:9" x14ac:dyDescent="0.3">
      <c r="A506" s="1" t="str">
        <f>"18"</f>
        <v>18</v>
      </c>
      <c r="B506" s="4" t="str">
        <f>"SARL DRNS"</f>
        <v>SARL DRNS</v>
      </c>
      <c r="C506" s="4">
        <v>539128900</v>
      </c>
      <c r="D506" s="3" t="s">
        <v>0</v>
      </c>
      <c r="E506" s="2" t="str">
        <f>"0010007050"</f>
        <v>0010007050</v>
      </c>
      <c r="F506" s="5">
        <v>40134</v>
      </c>
      <c r="G506" s="5">
        <v>54789</v>
      </c>
      <c r="H506" s="4" t="str">
        <f>""</f>
        <v/>
      </c>
      <c r="I506" s="4" t="str">
        <f>""</f>
        <v/>
      </c>
    </row>
    <row r="507" spans="1:9" x14ac:dyDescent="0.3">
      <c r="A507" s="1" t="str">
        <f>"18"</f>
        <v>18</v>
      </c>
      <c r="B507" s="4" t="str">
        <f>"SARL DRNS"</f>
        <v>SARL DRNS</v>
      </c>
      <c r="C507" s="4">
        <v>539128900</v>
      </c>
      <c r="D507" s="3" t="s">
        <v>0</v>
      </c>
      <c r="E507" s="2" t="str">
        <f>"PR1800006D"</f>
        <v>PR1800006D</v>
      </c>
      <c r="F507" s="5">
        <v>40134</v>
      </c>
      <c r="G507" s="5">
        <v>54789</v>
      </c>
      <c r="H507" s="4" t="str">
        <f>""</f>
        <v/>
      </c>
      <c r="I507" s="4" t="str">
        <f>""</f>
        <v/>
      </c>
    </row>
    <row r="508" spans="1:9" x14ac:dyDescent="0.3">
      <c r="A508" s="1" t="str">
        <f>"18"</f>
        <v>18</v>
      </c>
      <c r="B508" s="4" t="str">
        <f>"SOCIETE REVIVAL"</f>
        <v>SOCIETE REVIVAL</v>
      </c>
      <c r="C508" s="4">
        <v>616620092</v>
      </c>
      <c r="D508" s="3" t="s">
        <v>0</v>
      </c>
      <c r="E508" s="2" t="str">
        <f>"0010001941"</f>
        <v>0010001941</v>
      </c>
      <c r="F508" s="5">
        <v>43642</v>
      </c>
      <c r="G508" s="5">
        <v>54789</v>
      </c>
      <c r="H508" s="4" t="str">
        <f>""</f>
        <v/>
      </c>
      <c r="I508" s="4" t="str">
        <f>""</f>
        <v/>
      </c>
    </row>
    <row r="509" spans="1:9" x14ac:dyDescent="0.3">
      <c r="A509" s="1" t="str">
        <f>"18"</f>
        <v>18</v>
      </c>
      <c r="B509" s="4" t="str">
        <f>"SOCIETE REVIVAL"</f>
        <v>SOCIETE REVIVAL</v>
      </c>
      <c r="C509" s="4">
        <v>616620092</v>
      </c>
      <c r="D509" s="3" t="s">
        <v>0</v>
      </c>
      <c r="E509" s="2" t="str">
        <f>"PR1800005B"</f>
        <v>PR1800005B</v>
      </c>
      <c r="F509" s="5">
        <v>43642</v>
      </c>
      <c r="G509" s="5">
        <v>54789</v>
      </c>
      <c r="H509" s="4" t="str">
        <f>""</f>
        <v/>
      </c>
      <c r="I509" s="4" t="str">
        <f>""</f>
        <v/>
      </c>
    </row>
    <row r="510" spans="1:9" x14ac:dyDescent="0.3">
      <c r="A510" s="1" t="str">
        <f>"18"</f>
        <v>18</v>
      </c>
      <c r="B510" s="4" t="str">
        <f>"SOCIETE REVIVAL"</f>
        <v>SOCIETE REVIVAL</v>
      </c>
      <c r="C510" s="4">
        <v>616620092</v>
      </c>
      <c r="D510" s="3" t="s">
        <v>0</v>
      </c>
      <c r="E510" s="2" t="str">
        <f>"PR1800011D"</f>
        <v>PR1800011D</v>
      </c>
      <c r="F510" s="5">
        <v>43642</v>
      </c>
      <c r="G510" s="5">
        <v>54789</v>
      </c>
      <c r="H510" s="4" t="str">
        <f>""</f>
        <v/>
      </c>
      <c r="I510" s="4" t="str">
        <f>""</f>
        <v/>
      </c>
    </row>
    <row r="511" spans="1:9" x14ac:dyDescent="0.3">
      <c r="A511" s="1" t="str">
        <f>"18"</f>
        <v>18</v>
      </c>
      <c r="B511" s="4" t="str">
        <f>"SA ETS J MENUT"</f>
        <v>SA ETS J MENUT</v>
      </c>
      <c r="C511" s="4">
        <v>781620059</v>
      </c>
      <c r="D511" s="3" t="s">
        <v>0</v>
      </c>
      <c r="E511" s="2" t="str">
        <f>"PR1800005D"</f>
        <v>PR1800005D</v>
      </c>
      <c r="F511" s="5">
        <v>41967</v>
      </c>
      <c r="G511" s="5">
        <v>54789</v>
      </c>
      <c r="H511" s="4" t="str">
        <f>""</f>
        <v/>
      </c>
      <c r="I511" s="4" t="str">
        <f>""</f>
        <v/>
      </c>
    </row>
    <row r="512" spans="1:9" x14ac:dyDescent="0.3">
      <c r="A512" s="1" t="str">
        <f>"18"</f>
        <v>18</v>
      </c>
      <c r="B512" s="4" t="str">
        <f>"SA ETS J MENUT"</f>
        <v>SA ETS J MENUT</v>
      </c>
      <c r="C512" s="4">
        <v>781620059</v>
      </c>
      <c r="D512" s="3" t="s">
        <v>0</v>
      </c>
      <c r="E512" s="2" t="str">
        <f>"0010002147"</f>
        <v>0010002147</v>
      </c>
      <c r="F512" s="5">
        <v>41967</v>
      </c>
      <c r="G512" s="5">
        <v>54789</v>
      </c>
      <c r="H512" s="4" t="str">
        <f>""</f>
        <v/>
      </c>
      <c r="I512" s="4" t="str">
        <f>""</f>
        <v/>
      </c>
    </row>
    <row r="513" spans="1:9" x14ac:dyDescent="0.3">
      <c r="A513" s="1" t="str">
        <f>"18"</f>
        <v>18</v>
      </c>
      <c r="B513" s="4" t="str">
        <f>"SAS FERROLAC"</f>
        <v>SAS FERROLAC</v>
      </c>
      <c r="C513" s="4">
        <v>785609629</v>
      </c>
      <c r="D513" s="3" t="s">
        <v>0</v>
      </c>
      <c r="E513" s="2" t="str">
        <f>"PR1800004D"</f>
        <v>PR1800004D</v>
      </c>
      <c r="F513" s="5">
        <v>39560</v>
      </c>
      <c r="G513" s="5">
        <v>54789</v>
      </c>
      <c r="H513" s="4" t="str">
        <f>""</f>
        <v/>
      </c>
      <c r="I513" s="4" t="str">
        <f>""</f>
        <v/>
      </c>
    </row>
    <row r="514" spans="1:9" x14ac:dyDescent="0.3">
      <c r="A514" s="1" t="str">
        <f>"18"</f>
        <v>18</v>
      </c>
      <c r="B514" s="4" t="str">
        <f>"SAS FERROLAC"</f>
        <v>SAS FERROLAC</v>
      </c>
      <c r="C514" s="4">
        <v>785609629</v>
      </c>
      <c r="D514" s="3" t="s">
        <v>0</v>
      </c>
      <c r="E514" s="2" t="str">
        <f>"PR1800012D"</f>
        <v>PR1800012D</v>
      </c>
      <c r="F514" s="5">
        <v>44659</v>
      </c>
      <c r="G514" s="5">
        <v>54789</v>
      </c>
      <c r="H514" s="4" t="str">
        <f>""</f>
        <v/>
      </c>
      <c r="I514" s="4" t="str">
        <f>""</f>
        <v/>
      </c>
    </row>
    <row r="515" spans="1:9" x14ac:dyDescent="0.3">
      <c r="A515" s="1" t="str">
        <f>"18"</f>
        <v>18</v>
      </c>
      <c r="B515" s="4" t="str">
        <f>"SAS FERROLAC"</f>
        <v>SAS FERROLAC</v>
      </c>
      <c r="C515" s="4">
        <v>785609629</v>
      </c>
      <c r="D515" s="3" t="s">
        <v>0</v>
      </c>
      <c r="E515" s="2" t="str">
        <f>"0010002019"</f>
        <v>0010002019</v>
      </c>
      <c r="F515" s="5">
        <v>39560</v>
      </c>
      <c r="G515" s="5">
        <v>54789</v>
      </c>
      <c r="H515" s="4" t="str">
        <f>""</f>
        <v/>
      </c>
      <c r="I515" s="4" t="str">
        <f>""</f>
        <v/>
      </c>
    </row>
    <row r="516" spans="1:9" x14ac:dyDescent="0.3">
      <c r="A516" s="1" t="str">
        <f>"18"</f>
        <v>18</v>
      </c>
      <c r="B516" s="4" t="str">
        <f>"SAS FERROLAC"</f>
        <v>SAS FERROLAC</v>
      </c>
      <c r="C516" s="4">
        <v>785609629</v>
      </c>
      <c r="D516" s="3" t="s">
        <v>0</v>
      </c>
      <c r="E516" s="2" t="str">
        <f>"785609629"</f>
        <v>785609629</v>
      </c>
      <c r="F516" s="5">
        <v>44659</v>
      </c>
      <c r="G516" s="5">
        <v>54789</v>
      </c>
      <c r="H516" s="4" t="str">
        <f>""</f>
        <v/>
      </c>
      <c r="I516" s="4" t="str">
        <f>""</f>
        <v/>
      </c>
    </row>
    <row r="517" spans="1:9" x14ac:dyDescent="0.3">
      <c r="A517" s="1" t="str">
        <f>"18"</f>
        <v>18</v>
      </c>
      <c r="B517" s="4" t="str">
        <f>"SAS VALRECY"</f>
        <v>SAS VALRECY</v>
      </c>
      <c r="C517" s="4">
        <v>802671651</v>
      </c>
      <c r="D517" s="3" t="s">
        <v>0</v>
      </c>
      <c r="E517" s="2" t="str">
        <f>"PR18000010D"</f>
        <v>PR18000010D</v>
      </c>
      <c r="F517" s="5">
        <v>43144</v>
      </c>
      <c r="G517" s="5">
        <v>54789</v>
      </c>
      <c r="H517" s="4" t="str">
        <f>""</f>
        <v/>
      </c>
      <c r="I517" s="4" t="str">
        <f>""</f>
        <v/>
      </c>
    </row>
    <row r="518" spans="1:9" x14ac:dyDescent="0.3">
      <c r="A518" s="1" t="str">
        <f>"19"</f>
        <v>19</v>
      </c>
      <c r="B518" s="4" t="str">
        <f>"SARL RECUPER' AUTO"</f>
        <v>SARL RECUPER' AUTO</v>
      </c>
      <c r="C518" s="4">
        <v>309634475</v>
      </c>
      <c r="D518" s="3" t="s">
        <v>0</v>
      </c>
      <c r="E518" s="2" t="str">
        <f>"PR1900001D"</f>
        <v>PR1900001D</v>
      </c>
      <c r="F518" s="5">
        <v>39052</v>
      </c>
      <c r="G518" s="5">
        <v>54789</v>
      </c>
      <c r="H518" s="4" t="str">
        <f>""</f>
        <v/>
      </c>
      <c r="I518" s="4" t="str">
        <f>""</f>
        <v/>
      </c>
    </row>
    <row r="519" spans="1:9" x14ac:dyDescent="0.3">
      <c r="A519" s="1" t="str">
        <f>"19"</f>
        <v>19</v>
      </c>
      <c r="B519" s="4" t="str">
        <f>"SARL RECUPER' AUTO"</f>
        <v>SARL RECUPER' AUTO</v>
      </c>
      <c r="C519" s="4">
        <v>309634475</v>
      </c>
      <c r="D519" s="3" t="s">
        <v>0</v>
      </c>
      <c r="E519" s="2" t="str">
        <f>"0006000566"</f>
        <v>0006000566</v>
      </c>
      <c r="F519" s="5">
        <v>39052</v>
      </c>
      <c r="G519" s="5">
        <v>54789</v>
      </c>
      <c r="H519" s="4" t="str">
        <f>""</f>
        <v/>
      </c>
      <c r="I519" s="4" t="str">
        <f>""</f>
        <v/>
      </c>
    </row>
    <row r="520" spans="1:9" x14ac:dyDescent="0.3">
      <c r="A520" s="1" t="str">
        <f>"19"</f>
        <v>19</v>
      </c>
      <c r="B520" s="4" t="str">
        <f>"SARL CFM INDUSTRIE M DIDIER BURG"</f>
        <v>SARL CFM INDUSTRIE M DIDIER BURG</v>
      </c>
      <c r="C520" s="4">
        <v>385011713</v>
      </c>
      <c r="D520" s="3" t="s">
        <v>0</v>
      </c>
      <c r="E520" s="2" t="str">
        <f>"PR1900006D"</f>
        <v>PR1900006D</v>
      </c>
      <c r="F520" s="5">
        <v>39874</v>
      </c>
      <c r="G520" s="5">
        <v>54789</v>
      </c>
      <c r="H520" s="4" t="str">
        <f>""</f>
        <v/>
      </c>
      <c r="I520" s="4" t="str">
        <f>""</f>
        <v/>
      </c>
    </row>
    <row r="521" spans="1:9" x14ac:dyDescent="0.3">
      <c r="A521" s="1" t="str">
        <f>"19"</f>
        <v>19</v>
      </c>
      <c r="B521" s="4" t="str">
        <f>"SARL CFM INDUSTRIE M DIDIER BURG"</f>
        <v>SARL CFM INDUSTRIE M DIDIER BURG</v>
      </c>
      <c r="C521" s="4">
        <v>385011713</v>
      </c>
      <c r="D521" s="3" t="s">
        <v>0</v>
      </c>
      <c r="E521" s="2" t="str">
        <f>"0006000424"</f>
        <v>0006000424</v>
      </c>
      <c r="F521" s="5">
        <v>39874</v>
      </c>
      <c r="G521" s="5">
        <v>54789</v>
      </c>
      <c r="H521" s="4" t="str">
        <f>""</f>
        <v/>
      </c>
      <c r="I521" s="4" t="str">
        <f>""</f>
        <v/>
      </c>
    </row>
    <row r="522" spans="1:9" x14ac:dyDescent="0.3">
      <c r="A522" s="1" t="str">
        <f>"19"</f>
        <v>19</v>
      </c>
      <c r="B522" s="4" t="str">
        <f>"SIRMET"</f>
        <v>SIRMET</v>
      </c>
      <c r="C522" s="4">
        <v>432383321</v>
      </c>
      <c r="D522" s="3" t="s">
        <v>0</v>
      </c>
      <c r="E522" s="2" t="str">
        <f>"0006002984"</f>
        <v>0006002984</v>
      </c>
      <c r="F522" s="5">
        <v>39052</v>
      </c>
      <c r="G522" s="5">
        <v>54789</v>
      </c>
      <c r="H522" s="4" t="str">
        <f>""</f>
        <v/>
      </c>
      <c r="I522" s="4" t="str">
        <f>""</f>
        <v/>
      </c>
    </row>
    <row r="523" spans="1:9" x14ac:dyDescent="0.3">
      <c r="A523" s="1" t="str">
        <f>"19"</f>
        <v>19</v>
      </c>
      <c r="B523" s="4" t="str">
        <f>"SIRMET"</f>
        <v>SIRMET</v>
      </c>
      <c r="C523" s="4">
        <v>432383321</v>
      </c>
      <c r="D523" s="3" t="s">
        <v>0</v>
      </c>
      <c r="E523" s="2" t="str">
        <f>"PR1900002D"</f>
        <v>PR1900002D</v>
      </c>
      <c r="F523" s="5">
        <v>39052</v>
      </c>
      <c r="G523" s="5">
        <v>54789</v>
      </c>
      <c r="H523" s="4" t="str">
        <f>""</f>
        <v/>
      </c>
      <c r="I523" s="4" t="str">
        <f>""</f>
        <v/>
      </c>
    </row>
    <row r="524" spans="1:9" x14ac:dyDescent="0.3">
      <c r="A524" s="1" t="str">
        <f>"19"</f>
        <v>19</v>
      </c>
      <c r="B524" s="4" t="str">
        <f>"SARL RECUP AUTO"</f>
        <v>SARL RECUP AUTO</v>
      </c>
      <c r="C524" s="4">
        <v>439024225</v>
      </c>
      <c r="D524" s="3" t="s">
        <v>0</v>
      </c>
      <c r="E524" s="2" t="str">
        <f>"PR1900004D"</f>
        <v>PR1900004D</v>
      </c>
      <c r="F524" s="5">
        <v>39052</v>
      </c>
      <c r="G524" s="5">
        <v>54789</v>
      </c>
      <c r="H524" s="4" t="str">
        <f>""</f>
        <v/>
      </c>
      <c r="I524" s="4" t="str">
        <f>""</f>
        <v/>
      </c>
    </row>
    <row r="525" spans="1:9" x14ac:dyDescent="0.3">
      <c r="A525" s="1" t="str">
        <f>"19"</f>
        <v>19</v>
      </c>
      <c r="B525" s="4" t="str">
        <f>"SARL RECUP AUTO"</f>
        <v>SARL RECUP AUTO</v>
      </c>
      <c r="C525" s="4">
        <v>439024225</v>
      </c>
      <c r="D525" s="3" t="s">
        <v>0</v>
      </c>
      <c r="E525" s="2" t="str">
        <f>"0006000719"</f>
        <v>0006000719</v>
      </c>
      <c r="F525" s="5">
        <v>39052</v>
      </c>
      <c r="G525" s="5">
        <v>54789</v>
      </c>
      <c r="H525" s="4" t="str">
        <f>""</f>
        <v/>
      </c>
      <c r="I525" s="4" t="str">
        <f>""</f>
        <v/>
      </c>
    </row>
    <row r="526" spans="1:9" x14ac:dyDescent="0.3">
      <c r="A526" s="1" t="str">
        <f>"19"</f>
        <v>19</v>
      </c>
      <c r="B526" s="4" t="str">
        <f>"AUTODIS"</f>
        <v>AUTODIS</v>
      </c>
      <c r="C526" s="4">
        <v>478189251</v>
      </c>
      <c r="D526" s="3" t="s">
        <v>0</v>
      </c>
      <c r="E526" s="2" t="str">
        <f>"0006002745"</f>
        <v>0006002745</v>
      </c>
      <c r="F526" s="5">
        <v>39052</v>
      </c>
      <c r="G526" s="5">
        <v>54789</v>
      </c>
      <c r="H526" s="4" t="str">
        <f>""</f>
        <v/>
      </c>
      <c r="I526" s="4" t="str">
        <f>""</f>
        <v/>
      </c>
    </row>
    <row r="527" spans="1:9" x14ac:dyDescent="0.3">
      <c r="A527" s="1" t="str">
        <f>"19"</f>
        <v>19</v>
      </c>
      <c r="B527" s="4" t="str">
        <f>"AUTODIS"</f>
        <v>AUTODIS</v>
      </c>
      <c r="C527" s="4">
        <v>478189251</v>
      </c>
      <c r="D527" s="3" t="s">
        <v>0</v>
      </c>
      <c r="E527" s="2" t="str">
        <f>"PR1900003D"</f>
        <v>PR1900003D</v>
      </c>
      <c r="F527" s="5">
        <v>39052</v>
      </c>
      <c r="G527" s="5">
        <v>54789</v>
      </c>
      <c r="H527" s="4" t="str">
        <f>""</f>
        <v/>
      </c>
      <c r="I527" s="4" t="str">
        <f>""</f>
        <v/>
      </c>
    </row>
    <row r="528" spans="1:9" x14ac:dyDescent="0.3">
      <c r="A528" s="1" t="str">
        <f>"19"</f>
        <v>19</v>
      </c>
      <c r="B528" s="4" t="str">
        <f>"CDR Environnement"</f>
        <v>CDR Environnement</v>
      </c>
      <c r="C528" s="4">
        <v>792363517</v>
      </c>
      <c r="D528" s="3" t="s">
        <v>0</v>
      </c>
      <c r="E528" s="2" t="str">
        <f>"0006004334"</f>
        <v>0006004334</v>
      </c>
      <c r="F528" s="5">
        <v>42388</v>
      </c>
      <c r="G528" s="5">
        <v>54789</v>
      </c>
      <c r="H528" s="4" t="str">
        <f>""</f>
        <v/>
      </c>
      <c r="I528" s="4" t="str">
        <f>""</f>
        <v/>
      </c>
    </row>
    <row r="529" spans="1:9" x14ac:dyDescent="0.3">
      <c r="A529" s="1" t="str">
        <f>"19"</f>
        <v>19</v>
      </c>
      <c r="B529" s="4" t="str">
        <f>"CDR Environnement"</f>
        <v>CDR Environnement</v>
      </c>
      <c r="C529" s="4">
        <v>792363517</v>
      </c>
      <c r="D529" s="3" t="s">
        <v>0</v>
      </c>
      <c r="E529" s="2" t="str">
        <f>"PR19000010D"</f>
        <v>PR19000010D</v>
      </c>
      <c r="F529" s="5">
        <v>42388</v>
      </c>
      <c r="G529" s="5">
        <v>54789</v>
      </c>
      <c r="H529" s="4" t="str">
        <f>""</f>
        <v/>
      </c>
      <c r="I529" s="4" t="str">
        <f>""</f>
        <v/>
      </c>
    </row>
    <row r="530" spans="1:9" x14ac:dyDescent="0.3">
      <c r="A530" s="1" t="str">
        <f>"19"</f>
        <v>19</v>
      </c>
      <c r="B530" s="4" t="str">
        <f>"SAS CORREZE RECUPERATION"</f>
        <v>SAS CORREZE RECUPERATION</v>
      </c>
      <c r="C530" s="4">
        <v>797518313</v>
      </c>
      <c r="D530" s="3" t="s">
        <v>0</v>
      </c>
      <c r="E530" s="2" t="str">
        <f>"PR1900008D"</f>
        <v>PR1900008D</v>
      </c>
      <c r="F530" s="5">
        <v>41584</v>
      </c>
      <c r="G530" s="5">
        <v>54789</v>
      </c>
      <c r="H530" s="4" t="str">
        <f>""</f>
        <v/>
      </c>
      <c r="I530" s="4" t="str">
        <f>""</f>
        <v/>
      </c>
    </row>
    <row r="531" spans="1:9" x14ac:dyDescent="0.3">
      <c r="A531" s="1" t="str">
        <f>"19"</f>
        <v>19</v>
      </c>
      <c r="B531" s="4" t="str">
        <f>"SAS CORREZE RECUPERATION"</f>
        <v>SAS CORREZE RECUPERATION</v>
      </c>
      <c r="C531" s="4">
        <v>797518313</v>
      </c>
      <c r="D531" s="3" t="s">
        <v>0</v>
      </c>
      <c r="E531" s="2" t="str">
        <f>"0006003729"</f>
        <v>0006003729</v>
      </c>
      <c r="F531" s="5">
        <v>41584</v>
      </c>
      <c r="G531" s="5">
        <v>54789</v>
      </c>
      <c r="H531" s="4" t="str">
        <f>""</f>
        <v/>
      </c>
      <c r="I531" s="4" t="str">
        <f>""</f>
        <v/>
      </c>
    </row>
    <row r="532" spans="1:9" x14ac:dyDescent="0.3">
      <c r="A532" s="1" t="str">
        <f>"19"</f>
        <v>19</v>
      </c>
      <c r="B532" s="4" t="str">
        <f>"SOCIETE LAPORTE RECUPERATION"</f>
        <v>SOCIETE LAPORTE RECUPERATION</v>
      </c>
      <c r="C532" s="4">
        <v>798133781</v>
      </c>
      <c r="D532" s="3" t="s">
        <v>0</v>
      </c>
      <c r="E532" s="2" t="str">
        <f>"PR1900009D"</f>
        <v>PR1900009D</v>
      </c>
      <c r="F532" s="5">
        <v>42496</v>
      </c>
      <c r="G532" s="5">
        <v>54789</v>
      </c>
      <c r="H532" s="4" t="str">
        <f>""</f>
        <v/>
      </c>
      <c r="I532" s="4" t="str">
        <f>""</f>
        <v/>
      </c>
    </row>
    <row r="533" spans="1:9" x14ac:dyDescent="0.3">
      <c r="A533" s="1" t="str">
        <f>"19"</f>
        <v>19</v>
      </c>
      <c r="B533" s="4" t="str">
        <f>"SOCIETE LAPORTE RECUPERATION"</f>
        <v>SOCIETE LAPORTE RECUPERATION</v>
      </c>
      <c r="C533" s="4">
        <v>798133781</v>
      </c>
      <c r="D533" s="3" t="s">
        <v>0</v>
      </c>
      <c r="E533" s="2" t="str">
        <f>"0006004446"</f>
        <v>0006004446</v>
      </c>
      <c r="F533" s="5">
        <v>42496</v>
      </c>
      <c r="G533" s="5">
        <v>54789</v>
      </c>
      <c r="H533" s="4" t="str">
        <f>""</f>
        <v/>
      </c>
      <c r="I533" s="4" t="str">
        <f>""</f>
        <v/>
      </c>
    </row>
    <row r="534" spans="1:9" x14ac:dyDescent="0.3">
      <c r="A534" s="1" t="str">
        <f>"20"</f>
        <v>20</v>
      </c>
      <c r="B534" s="4" t="str">
        <f>"OCCA PIECES"</f>
        <v>OCCA PIECES</v>
      </c>
      <c r="C534" s="4">
        <v>201379013</v>
      </c>
      <c r="D534" s="3" t="s">
        <v>0</v>
      </c>
      <c r="E534" s="2" t="str">
        <f>"PR2A00002D"</f>
        <v>PR2A00002D</v>
      </c>
      <c r="F534" s="5">
        <v>41275</v>
      </c>
      <c r="G534" s="5">
        <v>54789</v>
      </c>
      <c r="H534" s="4" t="str">
        <f>""</f>
        <v/>
      </c>
      <c r="I534" s="4" t="str">
        <f>""</f>
        <v/>
      </c>
    </row>
    <row r="535" spans="1:9" x14ac:dyDescent="0.3">
      <c r="A535" s="1" t="str">
        <f>"20"</f>
        <v>20</v>
      </c>
      <c r="B535" s="4" t="str">
        <f>"SARL ALLO CASSE AUTO"</f>
        <v>SARL ALLO CASSE AUTO</v>
      </c>
      <c r="C535" s="4">
        <v>317785293</v>
      </c>
      <c r="D535" s="3" t="s">
        <v>0</v>
      </c>
      <c r="E535" s="2" t="str">
        <f>"PR2B00002D"</f>
        <v>PR2B00002D</v>
      </c>
      <c r="F535" s="5">
        <v>41331</v>
      </c>
      <c r="G535" s="5">
        <v>54789</v>
      </c>
      <c r="H535" s="4" t="str">
        <f>""</f>
        <v/>
      </c>
      <c r="I535" s="4" t="str">
        <f>""</f>
        <v/>
      </c>
    </row>
    <row r="536" spans="1:9" x14ac:dyDescent="0.3">
      <c r="A536" s="1" t="str">
        <f>"20"</f>
        <v>20</v>
      </c>
      <c r="B536" s="4" t="str">
        <f>"SARL ALLO CASSE AUTO"</f>
        <v>SARL ALLO CASSE AUTO</v>
      </c>
      <c r="C536" s="4">
        <v>317785293</v>
      </c>
      <c r="D536" s="3" t="s">
        <v>0</v>
      </c>
      <c r="E536" s="2" t="str">
        <f>"0007300063"</f>
        <v>0007300063</v>
      </c>
      <c r="F536" s="5">
        <v>38821</v>
      </c>
      <c r="G536" s="5">
        <v>54789</v>
      </c>
      <c r="H536" s="4" t="str">
        <f>""</f>
        <v/>
      </c>
      <c r="I536" s="4" t="str">
        <f>""</f>
        <v/>
      </c>
    </row>
    <row r="537" spans="1:9" x14ac:dyDescent="0.3">
      <c r="A537" s="1" t="str">
        <f>"20"</f>
        <v>20</v>
      </c>
      <c r="B537" s="4" t="str">
        <f>"CASSE DE CALENZANA"</f>
        <v>CASSE DE CALENZANA</v>
      </c>
      <c r="C537" s="4">
        <v>335112009</v>
      </c>
      <c r="D537" s="3" t="s">
        <v>0</v>
      </c>
      <c r="E537" s="2" t="str">
        <f>"PR2B00007D"</f>
        <v>PR2B00007D</v>
      </c>
      <c r="F537" s="5">
        <v>40218</v>
      </c>
      <c r="G537" s="5">
        <v>54789</v>
      </c>
      <c r="H537" s="4" t="str">
        <f>""</f>
        <v/>
      </c>
      <c r="I537" s="4" t="str">
        <f>""</f>
        <v/>
      </c>
    </row>
    <row r="538" spans="1:9" x14ac:dyDescent="0.3">
      <c r="A538" s="1" t="str">
        <f>"20"</f>
        <v>20</v>
      </c>
      <c r="B538" s="4" t="str">
        <f>"SARL ENVIRONNEMENT SERVICES"</f>
        <v>SARL ENVIRONNEMENT SERVICES</v>
      </c>
      <c r="C538" s="4">
        <v>349395384</v>
      </c>
      <c r="D538" s="3" t="s">
        <v>0</v>
      </c>
      <c r="E538" s="2" t="str">
        <f>"PR2A00006D"</f>
        <v>PR2A00006D</v>
      </c>
      <c r="F538" s="5">
        <v>44910</v>
      </c>
      <c r="G538" s="5">
        <v>54789</v>
      </c>
      <c r="H538" s="4" t="str">
        <f>""</f>
        <v/>
      </c>
      <c r="I538" s="4" t="str">
        <f>""</f>
        <v/>
      </c>
    </row>
    <row r="539" spans="1:9" x14ac:dyDescent="0.3">
      <c r="A539" s="1" t="str">
        <f>"20"</f>
        <v>20</v>
      </c>
      <c r="B539" s="4" t="str">
        <f>"ENVIRONNEMENT SERVICES SARL"</f>
        <v>ENVIRONNEMENT SERVICES SARL</v>
      </c>
      <c r="C539" s="4">
        <v>349395384</v>
      </c>
      <c r="D539" s="3" t="s">
        <v>0</v>
      </c>
      <c r="E539" s="2" t="str">
        <f>"0020100007"</f>
        <v>0020100007</v>
      </c>
      <c r="F539" s="5">
        <v>44910</v>
      </c>
      <c r="G539" s="5">
        <v>54789</v>
      </c>
      <c r="H539" s="4" t="str">
        <f>""</f>
        <v/>
      </c>
      <c r="I539" s="4" t="str">
        <f>""</f>
        <v/>
      </c>
    </row>
    <row r="540" spans="1:9" x14ac:dyDescent="0.3">
      <c r="A540" s="1" t="str">
        <f>"20"</f>
        <v>20</v>
      </c>
      <c r="B540" s="4" t="str">
        <f>"SARL AUTO CASSE MARANA"</f>
        <v>SARL AUTO CASSE MARANA</v>
      </c>
      <c r="C540" s="4">
        <v>378787915</v>
      </c>
      <c r="D540" s="3" t="s">
        <v>0</v>
      </c>
      <c r="E540" s="2" t="str">
        <f>"PR2B00001D"</f>
        <v>PR2B00001D</v>
      </c>
      <c r="F540" s="5">
        <v>41331</v>
      </c>
      <c r="G540" s="5">
        <v>54789</v>
      </c>
      <c r="H540" s="4" t="str">
        <f>""</f>
        <v/>
      </c>
      <c r="I540" s="4" t="str">
        <f>""</f>
        <v/>
      </c>
    </row>
    <row r="541" spans="1:9" x14ac:dyDescent="0.3">
      <c r="A541" s="1" t="str">
        <f>"20"</f>
        <v>20</v>
      </c>
      <c r="B541" s="4" t="str">
        <f>"SARL AUTO CASSE MARANA"</f>
        <v>SARL AUTO CASSE MARANA</v>
      </c>
      <c r="C541" s="4">
        <v>378787915</v>
      </c>
      <c r="D541" s="3" t="s">
        <v>0</v>
      </c>
      <c r="E541" s="2" t="str">
        <f>"0007300066"</f>
        <v>0007300066</v>
      </c>
      <c r="F541" s="5">
        <v>38820</v>
      </c>
      <c r="G541" s="5">
        <v>54792</v>
      </c>
      <c r="H541" s="4" t="str">
        <f>""</f>
        <v/>
      </c>
      <c r="I541" s="4" t="str">
        <f>""</f>
        <v/>
      </c>
    </row>
    <row r="542" spans="1:9" x14ac:dyDescent="0.3">
      <c r="A542" s="1" t="str">
        <f>"20"</f>
        <v>20</v>
      </c>
      <c r="B542" s="4" t="str">
        <f>"ENTREPRISE GRAZIANO VANGIONI"</f>
        <v>ENTREPRISE GRAZIANO VANGIONI</v>
      </c>
      <c r="C542" s="4">
        <v>403655855</v>
      </c>
      <c r="D542" s="3" t="s">
        <v>0</v>
      </c>
      <c r="E542" s="2" t="str">
        <f>"PR2B00006D"</f>
        <v>PR2B00006D</v>
      </c>
      <c r="F542" s="5">
        <v>40137</v>
      </c>
      <c r="G542" s="5">
        <v>54789</v>
      </c>
      <c r="H542" s="4" t="str">
        <f>""</f>
        <v/>
      </c>
      <c r="I542" s="4" t="str">
        <f>""</f>
        <v/>
      </c>
    </row>
    <row r="543" spans="1:9" x14ac:dyDescent="0.3">
      <c r="A543" s="1" t="str">
        <f>"20"</f>
        <v>20</v>
      </c>
      <c r="B543" s="4" t="str">
        <f>"ENTREPRISE GRAZIANO VANGIONI"</f>
        <v>ENTREPRISE GRAZIANO VANGIONI</v>
      </c>
      <c r="C543" s="4">
        <v>403655855</v>
      </c>
      <c r="D543" s="3" t="s">
        <v>0</v>
      </c>
      <c r="E543" s="2" t="str">
        <f>"0007300274"</f>
        <v>0007300274</v>
      </c>
      <c r="F543" s="5">
        <v>40137</v>
      </c>
      <c r="G543" s="5">
        <v>54789</v>
      </c>
      <c r="H543" s="4" t="str">
        <f>""</f>
        <v/>
      </c>
      <c r="I543" s="4" t="str">
        <f>""</f>
        <v/>
      </c>
    </row>
    <row r="544" spans="1:9" x14ac:dyDescent="0.3">
      <c r="A544" s="1" t="str">
        <f>"20"</f>
        <v>20</v>
      </c>
      <c r="B544" s="4" t="str">
        <f>"SARL AUTOMOBILIE INSULAIRE DE RECUPERATION"</f>
        <v>SARL AUTOMOBILIE INSULAIRE DE RECUPERATION</v>
      </c>
      <c r="C544" s="4">
        <v>492582853</v>
      </c>
      <c r="D544" s="3" t="s">
        <v>0</v>
      </c>
      <c r="E544" s="2" t="str">
        <f>"PR2B00004D"</f>
        <v>PR2B00004D</v>
      </c>
      <c r="F544" s="5">
        <v>42200</v>
      </c>
      <c r="G544" s="5">
        <v>54789</v>
      </c>
      <c r="H544" s="4" t="str">
        <f>""</f>
        <v/>
      </c>
      <c r="I544" s="4" t="str">
        <f>""</f>
        <v/>
      </c>
    </row>
    <row r="545" spans="1:9" x14ac:dyDescent="0.3">
      <c r="A545" s="1" t="str">
        <f>"20"</f>
        <v>20</v>
      </c>
      <c r="B545" s="4" t="str">
        <f>"SARL AUTOMOBILIE INSULAIRE DE RECUPERATION"</f>
        <v>SARL AUTOMOBILIE INSULAIRE DE RECUPERATION</v>
      </c>
      <c r="C545" s="4">
        <v>492582853</v>
      </c>
      <c r="D545" s="3" t="s">
        <v>0</v>
      </c>
      <c r="E545" s="2" t="str">
        <f>"0007300054"</f>
        <v>0007300054</v>
      </c>
      <c r="F545" s="5">
        <v>39149</v>
      </c>
      <c r="G545" s="5">
        <v>54789</v>
      </c>
      <c r="H545" s="4" t="str">
        <f>""</f>
        <v/>
      </c>
      <c r="I545" s="4" t="str">
        <f>""</f>
        <v/>
      </c>
    </row>
    <row r="546" spans="1:9" x14ac:dyDescent="0.3">
      <c r="A546" s="1" t="str">
        <f>"20"</f>
        <v>20</v>
      </c>
      <c r="B546" s="4" t="str">
        <f>"SARL RECY FER"</f>
        <v>SARL RECY FER</v>
      </c>
      <c r="C546" s="4">
        <v>503683476</v>
      </c>
      <c r="D546" s="3" t="s">
        <v>0</v>
      </c>
      <c r="E546" s="2" t="str">
        <f>"0020100016"</f>
        <v>0020100016</v>
      </c>
      <c r="F546" s="5">
        <v>45147</v>
      </c>
      <c r="G546" s="5">
        <v>54789</v>
      </c>
      <c r="H546" s="4" t="str">
        <f>""</f>
        <v/>
      </c>
      <c r="I546" s="4" t="str">
        <f>""</f>
        <v/>
      </c>
    </row>
    <row r="547" spans="1:9" x14ac:dyDescent="0.3">
      <c r="A547" s="1" t="str">
        <f>"20"</f>
        <v>20</v>
      </c>
      <c r="B547" s="4" t="str">
        <f>"SARL RECY FER"</f>
        <v>SARL RECY FER</v>
      </c>
      <c r="C547" s="4">
        <v>503683476</v>
      </c>
      <c r="D547" s="3" t="s">
        <v>0</v>
      </c>
      <c r="E547" s="2" t="str">
        <f>"PR2A00007D"</f>
        <v>PR2A00007D</v>
      </c>
      <c r="F547" s="5">
        <v>45147</v>
      </c>
      <c r="G547" s="5">
        <v>54789</v>
      </c>
      <c r="H547" s="4" t="str">
        <f>""</f>
        <v/>
      </c>
      <c r="I547" s="4" t="str">
        <f>""</f>
        <v/>
      </c>
    </row>
    <row r="548" spans="1:9" x14ac:dyDescent="0.3">
      <c r="A548" s="1" t="str">
        <f>"20"</f>
        <v>20</v>
      </c>
      <c r="B548" s="4" t="str">
        <f>"SARL DP RECYCLAGE"</f>
        <v>SARL DP RECYCLAGE</v>
      </c>
      <c r="C548" s="4">
        <v>509633129</v>
      </c>
      <c r="D548" s="3" t="s">
        <v>0</v>
      </c>
      <c r="E548" s="2" t="str">
        <f>"PR2B00009D"</f>
        <v>PR2B00009D</v>
      </c>
      <c r="F548" s="5">
        <v>41771</v>
      </c>
      <c r="G548" s="5">
        <v>54789</v>
      </c>
      <c r="H548" s="4" t="str">
        <f>""</f>
        <v/>
      </c>
      <c r="I548" s="4" t="str">
        <f>""</f>
        <v/>
      </c>
    </row>
    <row r="549" spans="1:9" x14ac:dyDescent="0.3">
      <c r="A549" s="1" t="str">
        <f>"20"</f>
        <v>20</v>
      </c>
      <c r="B549" s="4" t="str">
        <f>"OCCA PIECES"</f>
        <v>OCCA PIECES</v>
      </c>
      <c r="C549" s="4">
        <v>790133177</v>
      </c>
      <c r="D549" s="3" t="s">
        <v>0</v>
      </c>
      <c r="E549" s="2" t="str">
        <f>"PR2A00002D"</f>
        <v>PR2A00002D</v>
      </c>
      <c r="F549" s="5">
        <v>41426</v>
      </c>
      <c r="G549" s="5">
        <v>54789</v>
      </c>
      <c r="H549" s="4" t="str">
        <f>""</f>
        <v/>
      </c>
      <c r="I549" s="4" t="str">
        <f>""</f>
        <v/>
      </c>
    </row>
    <row r="550" spans="1:9" x14ac:dyDescent="0.3">
      <c r="A550" s="1" t="str">
        <f>"20"</f>
        <v>20</v>
      </c>
      <c r="B550" s="4" t="str">
        <f>"OCCA PIECES"</f>
        <v>OCCA PIECES</v>
      </c>
      <c r="C550" s="4">
        <v>790133177</v>
      </c>
      <c r="D550" s="3" t="s">
        <v>0</v>
      </c>
      <c r="E550" s="2" t="str">
        <f>"0020100018"</f>
        <v>0020100018</v>
      </c>
      <c r="F550" s="5">
        <v>39063</v>
      </c>
      <c r="G550" s="5">
        <v>54789</v>
      </c>
      <c r="H550" s="4" t="str">
        <f>""</f>
        <v/>
      </c>
      <c r="I550" s="4" t="str">
        <f>""</f>
        <v/>
      </c>
    </row>
    <row r="551" spans="1:9" x14ac:dyDescent="0.3">
      <c r="A551" s="1" t="str">
        <f>"20"</f>
        <v>20</v>
      </c>
      <c r="B551" s="4" t="str">
        <f>"LA CASSE"</f>
        <v>LA CASSE</v>
      </c>
      <c r="C551" s="4">
        <v>829453976</v>
      </c>
      <c r="D551" s="3" t="s">
        <v>0</v>
      </c>
      <c r="E551" s="2" t="str">
        <f>"PR2A00001D"</f>
        <v>PR2A00001D</v>
      </c>
      <c r="F551" s="5">
        <v>43259</v>
      </c>
      <c r="G551" s="5">
        <v>54789</v>
      </c>
      <c r="H551" s="4" t="str">
        <f>""</f>
        <v/>
      </c>
      <c r="I551" s="4" t="str">
        <f>""</f>
        <v/>
      </c>
    </row>
    <row r="552" spans="1:9" x14ac:dyDescent="0.3">
      <c r="A552" s="1" t="str">
        <f>"20"</f>
        <v>20</v>
      </c>
      <c r="B552" s="4" t="str">
        <f>"LA CASSE"</f>
        <v>LA CASSE</v>
      </c>
      <c r="C552" s="4">
        <v>829453976</v>
      </c>
      <c r="D552" s="3" t="s">
        <v>0</v>
      </c>
      <c r="E552" s="2" t="str">
        <f>"0020500001"</f>
        <v>0020500001</v>
      </c>
      <c r="F552" s="5">
        <v>38866</v>
      </c>
      <c r="G552" s="5">
        <v>54789</v>
      </c>
      <c r="H552" s="4" t="str">
        <f>""</f>
        <v/>
      </c>
      <c r="I552" s="4" t="str">
        <f>""</f>
        <v/>
      </c>
    </row>
    <row r="553" spans="1:9" x14ac:dyDescent="0.3">
      <c r="A553" s="1" t="str">
        <f>"20"</f>
        <v>20</v>
      </c>
      <c r="B553" s="4" t="str">
        <f>"SASU LORENZONI FERS ET METAUX"</f>
        <v>SASU LORENZONI FERS ET METAUX</v>
      </c>
      <c r="C553" s="4">
        <v>839029121</v>
      </c>
      <c r="D553" s="3" t="s">
        <v>0</v>
      </c>
      <c r="E553" s="2" t="str">
        <f>"PR2A00003D"</f>
        <v>PR2A00003D</v>
      </c>
      <c r="F553" s="5">
        <v>43251</v>
      </c>
      <c r="G553" s="5">
        <v>54789</v>
      </c>
      <c r="H553" s="4" t="str">
        <f>""</f>
        <v/>
      </c>
      <c r="I553" s="4" t="str">
        <f>""</f>
        <v/>
      </c>
    </row>
    <row r="554" spans="1:9" x14ac:dyDescent="0.3">
      <c r="A554" s="1" t="str">
        <f>"20"</f>
        <v>20</v>
      </c>
      <c r="B554" s="4" t="str">
        <f>"SASU LORENZONI FERS ET METAUX"</f>
        <v>SASU LORENZONI FERS ET METAUX</v>
      </c>
      <c r="C554" s="4">
        <v>839029121</v>
      </c>
      <c r="D554" s="3" t="s">
        <v>0</v>
      </c>
      <c r="E554" s="2" t="str">
        <f>"0020100015"</f>
        <v>0020100015</v>
      </c>
      <c r="F554" s="5">
        <v>43251</v>
      </c>
      <c r="G554" s="5">
        <v>54789</v>
      </c>
      <c r="H554" s="4" t="str">
        <f>""</f>
        <v/>
      </c>
      <c r="I554" s="4" t="str">
        <f>""</f>
        <v/>
      </c>
    </row>
    <row r="555" spans="1:9" x14ac:dyDescent="0.3">
      <c r="A555" s="1" t="str">
        <f>"20"</f>
        <v>20</v>
      </c>
      <c r="B555" s="4" t="str">
        <f>"CASSE DE CALENZANA"</f>
        <v>CASSE DE CALENZANA</v>
      </c>
      <c r="C555" s="4">
        <v>910439025</v>
      </c>
      <c r="D555" s="3" t="s">
        <v>0</v>
      </c>
      <c r="E555" s="2" t="str">
        <f>"0020800063"</f>
        <v>0020800063</v>
      </c>
      <c r="F555" s="5">
        <v>40218</v>
      </c>
      <c r="G555" s="5">
        <v>54789</v>
      </c>
      <c r="H555" s="4" t="str">
        <f>""</f>
        <v/>
      </c>
      <c r="I555" s="4" t="str">
        <f>""</f>
        <v/>
      </c>
    </row>
    <row r="556" spans="1:9" x14ac:dyDescent="0.3">
      <c r="A556" s="1" t="str">
        <f>"21"</f>
        <v>21</v>
      </c>
      <c r="B556" s="4" t="str">
        <f>"SAS ETS METALLURGIQUES E.GODARD"</f>
        <v>SAS ETS METALLURGIQUES E.GODARD</v>
      </c>
      <c r="C556" s="4">
        <v>15752660</v>
      </c>
      <c r="D556" s="3" t="s">
        <v>0</v>
      </c>
      <c r="E556" s="2" t="str">
        <f>"PR210008B"</f>
        <v>PR210008B</v>
      </c>
      <c r="F556" s="5">
        <v>43385</v>
      </c>
      <c r="G556" s="5">
        <v>54789</v>
      </c>
      <c r="H556" s="4" t="str">
        <f>""</f>
        <v/>
      </c>
      <c r="I556" s="4" t="str">
        <f>""</f>
        <v/>
      </c>
    </row>
    <row r="557" spans="1:9" x14ac:dyDescent="0.3">
      <c r="A557" s="1" t="str">
        <f>"21"</f>
        <v>21</v>
      </c>
      <c r="B557" s="4" t="str">
        <f>"SAS ETS METALLURGIQUES E.GODARD"</f>
        <v>SAS ETS METALLURGIQUES E.GODARD</v>
      </c>
      <c r="C557" s="4">
        <v>15752660</v>
      </c>
      <c r="D557" s="3" t="s">
        <v>0</v>
      </c>
      <c r="E557" s="2" t="str">
        <f>"0005401561"</f>
        <v>0005401561</v>
      </c>
      <c r="F557" s="5">
        <v>43385</v>
      </c>
      <c r="G557" s="5">
        <v>54789</v>
      </c>
      <c r="H557" s="4" t="str">
        <f>""</f>
        <v/>
      </c>
      <c r="I557" s="4" t="str">
        <f>""</f>
        <v/>
      </c>
    </row>
    <row r="558" spans="1:9" x14ac:dyDescent="0.3">
      <c r="A558" s="1" t="str">
        <f>"21"</f>
        <v>21</v>
      </c>
      <c r="B558" s="4" t="str">
        <f>"SAS ACYCLEA"</f>
        <v>SAS ACYCLEA</v>
      </c>
      <c r="C558" s="4">
        <v>16750770</v>
      </c>
      <c r="D558" s="3" t="s">
        <v>0</v>
      </c>
      <c r="E558" s="2" t="str">
        <f>"PR210018D"</f>
        <v>PR210018D</v>
      </c>
      <c r="F558" s="5">
        <v>43801</v>
      </c>
      <c r="G558" s="5">
        <v>54789</v>
      </c>
      <c r="H558" s="4" t="str">
        <f>""</f>
        <v/>
      </c>
      <c r="I558" s="4" t="str">
        <f>""</f>
        <v/>
      </c>
    </row>
    <row r="559" spans="1:9" x14ac:dyDescent="0.3">
      <c r="A559" s="1" t="str">
        <f>"21"</f>
        <v>21</v>
      </c>
      <c r="B559" s="4" t="str">
        <f>"SAS ACYCLEA"</f>
        <v>SAS ACYCLEA</v>
      </c>
      <c r="C559" s="4">
        <v>16750770</v>
      </c>
      <c r="D559" s="3" t="s">
        <v>0</v>
      </c>
      <c r="E559" s="2" t="str">
        <f>"0005402390"</f>
        <v>0005402390</v>
      </c>
      <c r="F559" s="5">
        <v>43801</v>
      </c>
      <c r="G559" s="5">
        <v>54789</v>
      </c>
      <c r="H559" s="4" t="str">
        <f>""</f>
        <v/>
      </c>
      <c r="I559" s="4" t="str">
        <f>""</f>
        <v/>
      </c>
    </row>
    <row r="560" spans="1:9" x14ac:dyDescent="0.3">
      <c r="A560" s="1" t="str">
        <f>"21"</f>
        <v>21</v>
      </c>
      <c r="B560" s="4" t="str">
        <f>"BRUNO BOUCHEROT"</f>
        <v>BRUNO BOUCHEROT</v>
      </c>
      <c r="C560" s="4">
        <v>328816780</v>
      </c>
      <c r="D560" s="3" t="s">
        <v>0</v>
      </c>
      <c r="E560" s="2" t="str">
        <f>"PR210017D"</f>
        <v>PR210017D</v>
      </c>
      <c r="F560" s="5">
        <v>43706</v>
      </c>
      <c r="G560" s="5">
        <v>54789</v>
      </c>
      <c r="H560" s="4" t="str">
        <f>"BOUCHEROT"</f>
        <v>BOUCHEROT</v>
      </c>
      <c r="I560" s="4" t="str">
        <f>"BRUNO"</f>
        <v>BRUNO</v>
      </c>
    </row>
    <row r="561" spans="1:9" x14ac:dyDescent="0.3">
      <c r="A561" s="1" t="str">
        <f>"21"</f>
        <v>21</v>
      </c>
      <c r="B561" s="4" t="str">
        <f>"BRUNO BOUCHEROT"</f>
        <v>BRUNO BOUCHEROT</v>
      </c>
      <c r="C561" s="4">
        <v>328816780</v>
      </c>
      <c r="D561" s="3" t="s">
        <v>0</v>
      </c>
      <c r="E561" s="2" t="str">
        <f>"0005401973"</f>
        <v>0005401973</v>
      </c>
      <c r="F561" s="5">
        <v>43706</v>
      </c>
      <c r="G561" s="5">
        <v>54789</v>
      </c>
      <c r="H561" s="4" t="str">
        <f>"BOUCHEROT"</f>
        <v>BOUCHEROT</v>
      </c>
      <c r="I561" s="4" t="str">
        <f>"BRUNO"</f>
        <v>BRUNO</v>
      </c>
    </row>
    <row r="562" spans="1:9" x14ac:dyDescent="0.3">
      <c r="A562" s="1" t="str">
        <f>"21"</f>
        <v>21</v>
      </c>
      <c r="B562" s="4" t="str">
        <f>"SARL SOCIETE ENTZ"</f>
        <v>SARL SOCIETE ENTZ</v>
      </c>
      <c r="C562" s="4">
        <v>332525468</v>
      </c>
      <c r="D562" s="3" t="s">
        <v>0</v>
      </c>
      <c r="E562" s="2" t="str">
        <f>"PR210004D"</f>
        <v>PR210004D</v>
      </c>
      <c r="F562" s="5">
        <v>43390</v>
      </c>
      <c r="G562" s="5">
        <v>54789</v>
      </c>
      <c r="H562" s="4" t="str">
        <f>""</f>
        <v/>
      </c>
      <c r="I562" s="4" t="str">
        <f>""</f>
        <v/>
      </c>
    </row>
    <row r="563" spans="1:9" x14ac:dyDescent="0.3">
      <c r="A563" s="1" t="str">
        <f>"21"</f>
        <v>21</v>
      </c>
      <c r="B563" s="4" t="str">
        <f>"SARL SOCIETE ENTZ"</f>
        <v>SARL SOCIETE ENTZ</v>
      </c>
      <c r="C563" s="4">
        <v>332525468</v>
      </c>
      <c r="D563" s="3" t="s">
        <v>0</v>
      </c>
      <c r="E563" s="2" t="str">
        <f>"0005402120"</f>
        <v>0005402120</v>
      </c>
      <c r="F563" s="5">
        <v>43390</v>
      </c>
      <c r="G563" s="5">
        <v>54789</v>
      </c>
      <c r="H563" s="4" t="str">
        <f>""</f>
        <v/>
      </c>
      <c r="I563" s="4" t="str">
        <f>""</f>
        <v/>
      </c>
    </row>
    <row r="564" spans="1:9" x14ac:dyDescent="0.3">
      <c r="A564" s="1" t="str">
        <f>"21"</f>
        <v>21</v>
      </c>
      <c r="B564" s="4" t="str">
        <f>"SAS BOURGOGNE RECYCLAGE"</f>
        <v>SAS BOURGOGNE RECYCLAGE</v>
      </c>
      <c r="C564" s="4">
        <v>379909617</v>
      </c>
      <c r="D564" s="3" t="s">
        <v>0</v>
      </c>
      <c r="E564" s="2" t="str">
        <f>"PR210024D"</f>
        <v>PR210024D</v>
      </c>
      <c r="F564" s="5">
        <v>43213</v>
      </c>
      <c r="G564" s="5">
        <v>54789</v>
      </c>
      <c r="H564" s="4" t="str">
        <f>""</f>
        <v/>
      </c>
      <c r="I564" s="4" t="str">
        <f>""</f>
        <v/>
      </c>
    </row>
    <row r="565" spans="1:9" x14ac:dyDescent="0.3">
      <c r="A565" s="1" t="str">
        <f>"21"</f>
        <v>21</v>
      </c>
      <c r="B565" s="4" t="str">
        <f>"SAS BOURGOGNE RECYCLAGE"</f>
        <v>SAS BOURGOGNE RECYCLAGE</v>
      </c>
      <c r="C565" s="4">
        <v>379909617</v>
      </c>
      <c r="D565" s="3" t="s">
        <v>0</v>
      </c>
      <c r="E565" s="2" t="str">
        <f>"0005401591"</f>
        <v>0005401591</v>
      </c>
      <c r="F565" s="5">
        <v>43213</v>
      </c>
      <c r="G565" s="5">
        <v>54789</v>
      </c>
      <c r="H565" s="4" t="str">
        <f>""</f>
        <v/>
      </c>
      <c r="I565" s="4" t="str">
        <f>""</f>
        <v/>
      </c>
    </row>
    <row r="566" spans="1:9" x14ac:dyDescent="0.3">
      <c r="A566" s="1" t="str">
        <f>"21"</f>
        <v>21</v>
      </c>
      <c r="B566" s="4" t="str">
        <f>"SAS AUTO CENTRE EUROPE"</f>
        <v>SAS AUTO CENTRE EUROPE</v>
      </c>
      <c r="C566" s="4">
        <v>414035410</v>
      </c>
      <c r="D566" s="3" t="s">
        <v>0</v>
      </c>
      <c r="E566" s="2" t="str">
        <f>"PR210003D"</f>
        <v>PR210003D</v>
      </c>
      <c r="F566" s="5">
        <v>42209</v>
      </c>
      <c r="G566" s="5">
        <v>54789</v>
      </c>
      <c r="H566" s="4" t="str">
        <f>""</f>
        <v/>
      </c>
      <c r="I566" s="4" t="str">
        <f>""</f>
        <v/>
      </c>
    </row>
    <row r="567" spans="1:9" x14ac:dyDescent="0.3">
      <c r="A567" s="1" t="str">
        <f>"21"</f>
        <v>21</v>
      </c>
      <c r="B567" s="4" t="str">
        <f>"SAS AUTO CENTRE EUROPE"</f>
        <v>SAS AUTO CENTRE EUROPE</v>
      </c>
      <c r="C567" s="4">
        <v>414035410</v>
      </c>
      <c r="D567" s="3" t="s">
        <v>0</v>
      </c>
      <c r="E567" s="2" t="str">
        <f>"0005401890"</f>
        <v>0005401890</v>
      </c>
      <c r="F567" s="5">
        <v>42209</v>
      </c>
      <c r="G567" s="5">
        <v>54789</v>
      </c>
      <c r="H567" s="4" t="str">
        <f>""</f>
        <v/>
      </c>
      <c r="I567" s="4" t="str">
        <f>""</f>
        <v/>
      </c>
    </row>
    <row r="568" spans="1:9" x14ac:dyDescent="0.3">
      <c r="A568" s="1" t="str">
        <f>"21"</f>
        <v>21</v>
      </c>
      <c r="B568" s="4" t="str">
        <f>"SARL DELLA CASA PERE ET FILS"</f>
        <v>SARL DELLA CASA PERE ET FILS</v>
      </c>
      <c r="C568" s="4">
        <v>414947283</v>
      </c>
      <c r="D568" s="3" t="s">
        <v>0</v>
      </c>
      <c r="E568" s="2" t="str">
        <f>"PR210012D"</f>
        <v>PR210012D</v>
      </c>
      <c r="F568" s="5">
        <v>43396</v>
      </c>
      <c r="G568" s="5">
        <v>54789</v>
      </c>
      <c r="H568" s="4" t="str">
        <f>""</f>
        <v/>
      </c>
      <c r="I568" s="4" t="str">
        <f>""</f>
        <v/>
      </c>
    </row>
    <row r="569" spans="1:9" x14ac:dyDescent="0.3">
      <c r="A569" s="1" t="str">
        <f>"21"</f>
        <v>21</v>
      </c>
      <c r="B569" s="4" t="str">
        <f>"SARL DELLA CASA PERE ET FILS"</f>
        <v>SARL DELLA CASA PERE ET FILS</v>
      </c>
      <c r="C569" s="4">
        <v>414947283</v>
      </c>
      <c r="D569" s="3" t="s">
        <v>0</v>
      </c>
      <c r="E569" s="2" t="str">
        <f>"0005401609"</f>
        <v>0005401609</v>
      </c>
      <c r="F569" s="5">
        <v>43396</v>
      </c>
      <c r="G569" s="5">
        <v>54789</v>
      </c>
      <c r="H569" s="4" t="str">
        <f>""</f>
        <v/>
      </c>
      <c r="I569" s="4" t="str">
        <f>""</f>
        <v/>
      </c>
    </row>
    <row r="570" spans="1:9" x14ac:dyDescent="0.3">
      <c r="A570" s="1" t="str">
        <f>"21"</f>
        <v>21</v>
      </c>
      <c r="B570" s="4" t="str">
        <f>"SARL DEMOLITION AUTO"</f>
        <v>SARL DEMOLITION AUTO</v>
      </c>
      <c r="C570" s="4">
        <v>481431112</v>
      </c>
      <c r="D570" s="3" t="s">
        <v>0</v>
      </c>
      <c r="E570" s="2" t="str">
        <f>"PR210013D"</f>
        <v>PR210013D</v>
      </c>
      <c r="F570" s="5">
        <v>43396</v>
      </c>
      <c r="G570" s="5">
        <v>54789</v>
      </c>
      <c r="H570" s="4" t="str">
        <f>""</f>
        <v/>
      </c>
      <c r="I570" s="4" t="str">
        <f>""</f>
        <v/>
      </c>
    </row>
    <row r="571" spans="1:9" x14ac:dyDescent="0.3">
      <c r="A571" s="1" t="str">
        <f>"21"</f>
        <v>21</v>
      </c>
      <c r="B571" s="4" t="str">
        <f>"SARL DEMOLITION AUTO"</f>
        <v>SARL DEMOLITION AUTO</v>
      </c>
      <c r="C571" s="4">
        <v>481431112</v>
      </c>
      <c r="D571" s="3" t="s">
        <v>0</v>
      </c>
      <c r="E571" s="2" t="str">
        <f>"0005401541"</f>
        <v>0005401541</v>
      </c>
      <c r="F571" s="5">
        <v>43396</v>
      </c>
      <c r="G571" s="5">
        <v>54789</v>
      </c>
      <c r="H571" s="4" t="str">
        <f>""</f>
        <v/>
      </c>
      <c r="I571" s="4" t="str">
        <f>""</f>
        <v/>
      </c>
    </row>
    <row r="572" spans="1:9" x14ac:dyDescent="0.3">
      <c r="A572" s="1" t="str">
        <f>"21"</f>
        <v>21</v>
      </c>
      <c r="B572" s="4" t="str">
        <f>"SARL MONNOYEUR RECYCLAGE DEMOLITION"</f>
        <v>SARL MONNOYEUR RECYCLAGE DEMOLITION</v>
      </c>
      <c r="C572" s="4">
        <v>497709477</v>
      </c>
      <c r="D572" s="3" t="s">
        <v>0</v>
      </c>
      <c r="E572" s="2" t="str">
        <f>"PR210026D"</f>
        <v>PR210026D</v>
      </c>
      <c r="F572" s="5">
        <v>42185</v>
      </c>
      <c r="G572" s="5">
        <v>54789</v>
      </c>
      <c r="H572" s="4" t="str">
        <f>""</f>
        <v/>
      </c>
      <c r="I572" s="4" t="str">
        <f>""</f>
        <v/>
      </c>
    </row>
    <row r="573" spans="1:9" x14ac:dyDescent="0.3">
      <c r="A573" s="1" t="str">
        <f>"21"</f>
        <v>21</v>
      </c>
      <c r="B573" s="4" t="str">
        <f>"SARL MONNOYEUR RECYCLAGE DEMOLITION"</f>
        <v>SARL MONNOYEUR RECYCLAGE DEMOLITION</v>
      </c>
      <c r="C573" s="4">
        <v>497709477</v>
      </c>
      <c r="D573" s="3" t="s">
        <v>0</v>
      </c>
      <c r="E573" s="2" t="str">
        <f>"0005402566"</f>
        <v>0005402566</v>
      </c>
      <c r="F573" s="5">
        <v>42185</v>
      </c>
      <c r="G573" s="5">
        <v>54789</v>
      </c>
      <c r="H573" s="4" t="str">
        <f>""</f>
        <v/>
      </c>
      <c r="I573" s="4" t="str">
        <f>""</f>
        <v/>
      </c>
    </row>
    <row r="574" spans="1:9" x14ac:dyDescent="0.3">
      <c r="A574" s="1" t="str">
        <f>"21"</f>
        <v>21</v>
      </c>
      <c r="B574" s="4" t="str">
        <f>"SARL BERNARD SECULA"</f>
        <v>SARL BERNARD SECULA</v>
      </c>
      <c r="C574" s="4">
        <v>498758762</v>
      </c>
      <c r="D574" s="3" t="s">
        <v>0</v>
      </c>
      <c r="E574" s="2" t="str">
        <f>"PR210015D"</f>
        <v>PR210015D</v>
      </c>
      <c r="F574" s="5">
        <v>43574</v>
      </c>
      <c r="G574" s="5">
        <v>54789</v>
      </c>
      <c r="H574" s="4" t="str">
        <f>""</f>
        <v/>
      </c>
      <c r="I574" s="4" t="str">
        <f>""</f>
        <v/>
      </c>
    </row>
    <row r="575" spans="1:9" x14ac:dyDescent="0.3">
      <c r="A575" s="1" t="str">
        <f>"21"</f>
        <v>21</v>
      </c>
      <c r="B575" s="4" t="str">
        <f>"SARL BERNARD SECULA"</f>
        <v>SARL BERNARD SECULA</v>
      </c>
      <c r="C575" s="4">
        <v>498758762</v>
      </c>
      <c r="D575" s="3" t="s">
        <v>0</v>
      </c>
      <c r="E575" s="2" t="str">
        <f>"0005401543"</f>
        <v>0005401543</v>
      </c>
      <c r="F575" s="5">
        <v>43574</v>
      </c>
      <c r="G575" s="5">
        <v>54789</v>
      </c>
      <c r="H575" s="4" t="str">
        <f>""</f>
        <v/>
      </c>
      <c r="I575" s="4" t="str">
        <f>""</f>
        <v/>
      </c>
    </row>
    <row r="576" spans="1:9" x14ac:dyDescent="0.3">
      <c r="A576" s="1" t="str">
        <f>"21"</f>
        <v>21</v>
      </c>
      <c r="B576" s="4" t="str">
        <f>"DESPLAT"</f>
        <v>DESPLAT</v>
      </c>
      <c r="C576" s="4">
        <v>725520639</v>
      </c>
      <c r="D576" s="3" t="s">
        <v>0</v>
      </c>
      <c r="E576" s="2" t="str">
        <f>"PR210002D"</f>
        <v>PR210002D</v>
      </c>
      <c r="F576" s="5">
        <v>43399</v>
      </c>
      <c r="G576" s="5">
        <v>54789</v>
      </c>
      <c r="H576" s="4" t="str">
        <f>""</f>
        <v/>
      </c>
      <c r="I576" s="4" t="str">
        <f>""</f>
        <v/>
      </c>
    </row>
    <row r="577" spans="1:9" x14ac:dyDescent="0.3">
      <c r="A577" s="1" t="str">
        <f>"21"</f>
        <v>21</v>
      </c>
      <c r="B577" s="4" t="str">
        <f>"DESPLAT"</f>
        <v>DESPLAT</v>
      </c>
      <c r="C577" s="4">
        <v>725520639</v>
      </c>
      <c r="D577" s="3" t="s">
        <v>0</v>
      </c>
      <c r="E577" s="2" t="str">
        <f>"0005401596"</f>
        <v>0005401596</v>
      </c>
      <c r="F577" s="5">
        <v>43399</v>
      </c>
      <c r="G577" s="5">
        <v>54789</v>
      </c>
      <c r="H577" s="4" t="str">
        <f>""</f>
        <v/>
      </c>
      <c r="I577" s="4" t="str">
        <f>""</f>
        <v/>
      </c>
    </row>
    <row r="578" spans="1:9" x14ac:dyDescent="0.3">
      <c r="A578" s="1" t="str">
        <f>"21"</f>
        <v>21</v>
      </c>
      <c r="B578" s="4" t="str">
        <f>"JOSE REBELO"</f>
        <v>JOSE REBELO</v>
      </c>
      <c r="C578" s="4">
        <v>752840249</v>
      </c>
      <c r="D578" s="3" t="s">
        <v>0</v>
      </c>
      <c r="E578" s="2" t="str">
        <f>"PR210023D"</f>
        <v>PR210023D</v>
      </c>
      <c r="F578" s="5">
        <v>43166</v>
      </c>
      <c r="G578" s="5">
        <v>54789</v>
      </c>
      <c r="H578" s="4" t="str">
        <f>"REBELO"</f>
        <v>REBELO</v>
      </c>
      <c r="I578" s="4" t="str">
        <f>"JOSE"</f>
        <v>JOSE</v>
      </c>
    </row>
    <row r="579" spans="1:9" x14ac:dyDescent="0.3">
      <c r="A579" s="1" t="str">
        <f>"21"</f>
        <v>21</v>
      </c>
      <c r="B579" s="4" t="str">
        <f>"JOSE REBELO"</f>
        <v>JOSE REBELO</v>
      </c>
      <c r="C579" s="4">
        <v>752840249</v>
      </c>
      <c r="D579" s="3" t="s">
        <v>0</v>
      </c>
      <c r="E579" s="2" t="str">
        <f>"0005401614"</f>
        <v>0005401614</v>
      </c>
      <c r="F579" s="5">
        <v>43166</v>
      </c>
      <c r="G579" s="5">
        <v>54789</v>
      </c>
      <c r="H579" s="4" t="str">
        <f>"REBELO"</f>
        <v>REBELO</v>
      </c>
      <c r="I579" s="4" t="str">
        <f>"JOSE"</f>
        <v>JOSE</v>
      </c>
    </row>
    <row r="580" spans="1:9" x14ac:dyDescent="0.3">
      <c r="A580" s="1" t="str">
        <f>"21"</f>
        <v>21</v>
      </c>
      <c r="B580" s="4" t="str">
        <f>"GUILLAUME ETIENNE"</f>
        <v>GUILLAUME ETIENNE</v>
      </c>
      <c r="C580" s="4">
        <v>803799857</v>
      </c>
      <c r="D580" s="3" t="s">
        <v>0</v>
      </c>
      <c r="E580" s="2" t="str">
        <f>"PR210016D"</f>
        <v>PR210016D</v>
      </c>
      <c r="F580" s="5">
        <v>43480</v>
      </c>
      <c r="G580" s="5">
        <v>54789</v>
      </c>
      <c r="H580" s="4" t="str">
        <f>"ETIENNE"</f>
        <v>ETIENNE</v>
      </c>
      <c r="I580" s="4" t="str">
        <f>"GUILLAUME"</f>
        <v>GUILLAUME</v>
      </c>
    </row>
    <row r="581" spans="1:9" x14ac:dyDescent="0.3">
      <c r="A581" s="1" t="str">
        <f>"21"</f>
        <v>21</v>
      </c>
      <c r="B581" s="4" t="str">
        <f>"GUILLAUME ETIENNE"</f>
        <v>GUILLAUME ETIENNE</v>
      </c>
      <c r="C581" s="4">
        <v>803799857</v>
      </c>
      <c r="D581" s="3" t="s">
        <v>0</v>
      </c>
      <c r="E581" s="2" t="str">
        <f>"0005401972"</f>
        <v>0005401972</v>
      </c>
      <c r="F581" s="5">
        <v>43480</v>
      </c>
      <c r="G581" s="5">
        <v>54789</v>
      </c>
      <c r="H581" s="4" t="str">
        <f>"ETIENNE"</f>
        <v>ETIENNE</v>
      </c>
      <c r="I581" s="4" t="str">
        <f>"GUILLAUME"</f>
        <v>GUILLAUME</v>
      </c>
    </row>
    <row r="582" spans="1:9" x14ac:dyDescent="0.3">
      <c r="A582" s="1" t="str">
        <f>"21"</f>
        <v>21</v>
      </c>
      <c r="B582" s="4" t="str">
        <f>"SARL RECYCLAGE PRO AUTOMOBILES"</f>
        <v>SARL RECYCLAGE PRO AUTOMOBILES</v>
      </c>
      <c r="C582" s="4">
        <v>908133937</v>
      </c>
      <c r="D582" s="3" t="s">
        <v>0</v>
      </c>
      <c r="E582" s="2" t="str">
        <f>"PR210021D"</f>
        <v>PR210021D</v>
      </c>
      <c r="F582" s="5">
        <v>45296</v>
      </c>
      <c r="G582" s="5">
        <v>54789</v>
      </c>
      <c r="H582" s="4" t="str">
        <f>""</f>
        <v/>
      </c>
      <c r="I582" s="4" t="str">
        <f>""</f>
        <v/>
      </c>
    </row>
    <row r="583" spans="1:9" x14ac:dyDescent="0.3">
      <c r="A583" s="1" t="str">
        <f>"21"</f>
        <v>21</v>
      </c>
      <c r="B583" s="4" t="str">
        <f>"SARL RECYCLAGE PRO AUTOMOBILES"</f>
        <v>SARL RECYCLAGE PRO AUTOMOBILES</v>
      </c>
      <c r="C583" s="4">
        <v>908133937</v>
      </c>
      <c r="D583" s="3" t="s">
        <v>0</v>
      </c>
      <c r="E583" s="2" t="str">
        <f>"0005402045"</f>
        <v>0005402045</v>
      </c>
      <c r="F583" s="5">
        <v>45296</v>
      </c>
      <c r="G583" s="5">
        <v>54789</v>
      </c>
      <c r="H583" s="4" t="str">
        <f>""</f>
        <v/>
      </c>
      <c r="I583" s="4" t="str">
        <f>""</f>
        <v/>
      </c>
    </row>
    <row r="584" spans="1:9" x14ac:dyDescent="0.3">
      <c r="A584" s="1" t="str">
        <f>"21"</f>
        <v>21</v>
      </c>
      <c r="B584" s="4" t="str">
        <f>"CASSE AUXONNAISE JMB"</f>
        <v>CASSE AUXONNAISE JMB</v>
      </c>
      <c r="C584" s="4">
        <v>942663410</v>
      </c>
      <c r="D584" s="3" t="s">
        <v>0</v>
      </c>
      <c r="E584" s="2" t="str">
        <f>"PR210014D"</f>
        <v>PR210014D</v>
      </c>
      <c r="F584" s="5">
        <v>45954</v>
      </c>
      <c r="G584" s="5">
        <v>54789</v>
      </c>
      <c r="H584" s="4" t="str">
        <f>""</f>
        <v/>
      </c>
      <c r="I584" s="4" t="str">
        <f>""</f>
        <v/>
      </c>
    </row>
    <row r="585" spans="1:9" x14ac:dyDescent="0.3">
      <c r="A585" s="1" t="str">
        <f>"21"</f>
        <v>21</v>
      </c>
      <c r="B585" s="4" t="str">
        <f>"CASSE AUXONNAISE JMB"</f>
        <v>CASSE AUXONNAISE JMB</v>
      </c>
      <c r="C585" s="4">
        <v>942663410</v>
      </c>
      <c r="D585" s="3" t="s">
        <v>0</v>
      </c>
      <c r="E585" s="2" t="str">
        <f>"0005401523"</f>
        <v>0005401523</v>
      </c>
      <c r="F585" s="5">
        <v>45954</v>
      </c>
      <c r="G585" s="5">
        <v>54789</v>
      </c>
      <c r="H585" s="4" t="str">
        <f>""</f>
        <v/>
      </c>
      <c r="I585" s="4" t="str">
        <f>""</f>
        <v/>
      </c>
    </row>
    <row r="586" spans="1:9" x14ac:dyDescent="0.3">
      <c r="A586" s="1" t="str">
        <f>"22"</f>
        <v>22</v>
      </c>
      <c r="B586" s="4" t="str">
        <f>"BEUREL DEMOLITION AUTO"</f>
        <v>BEUREL DEMOLITION AUTO</v>
      </c>
      <c r="C586" s="4">
        <v>323388470</v>
      </c>
      <c r="D586" s="3" t="s">
        <v>0</v>
      </c>
      <c r="E586" s="2" t="str">
        <f>"PR2200023D"</f>
        <v>PR2200023D</v>
      </c>
      <c r="F586" s="5">
        <v>43419</v>
      </c>
      <c r="G586" s="5">
        <v>54789</v>
      </c>
      <c r="H586" s="4" t="str">
        <f>""</f>
        <v/>
      </c>
      <c r="I586" s="4" t="str">
        <f>""</f>
        <v/>
      </c>
    </row>
    <row r="587" spans="1:9" x14ac:dyDescent="0.3">
      <c r="A587" s="1" t="str">
        <f>"22"</f>
        <v>22</v>
      </c>
      <c r="B587" s="4" t="str">
        <f>"SAS BREIZ AUTO"</f>
        <v>SAS BREIZ AUTO</v>
      </c>
      <c r="C587" s="4">
        <v>330096041</v>
      </c>
      <c r="D587" s="3" t="s">
        <v>0</v>
      </c>
      <c r="E587" s="2" t="str">
        <f>"PR2200011D"</f>
        <v>PR2200011D</v>
      </c>
      <c r="F587" s="5">
        <v>38993</v>
      </c>
      <c r="G587" s="5">
        <v>54789</v>
      </c>
      <c r="H587" s="4" t="str">
        <f>""</f>
        <v/>
      </c>
      <c r="I587" s="4" t="str">
        <f>""</f>
        <v/>
      </c>
    </row>
    <row r="588" spans="1:9" x14ac:dyDescent="0.3">
      <c r="A588" s="1" t="str">
        <f>"22"</f>
        <v>22</v>
      </c>
      <c r="B588" s="4" t="str">
        <f>"SAS BREIZ AUTO"</f>
        <v>SAS BREIZ AUTO</v>
      </c>
      <c r="C588" s="4">
        <v>330096041</v>
      </c>
      <c r="D588" s="3" t="s">
        <v>0</v>
      </c>
      <c r="E588" s="2" t="str">
        <f>"0005503534"</f>
        <v>0005503534</v>
      </c>
      <c r="F588" s="5">
        <v>38993</v>
      </c>
      <c r="G588" s="5">
        <v>54789</v>
      </c>
      <c r="H588" s="4" t="str">
        <f>""</f>
        <v/>
      </c>
      <c r="I588" s="4" t="str">
        <f>""</f>
        <v/>
      </c>
    </row>
    <row r="589" spans="1:9" x14ac:dyDescent="0.3">
      <c r="A589" s="1" t="str">
        <f>"22"</f>
        <v>22</v>
      </c>
      <c r="B589" s="4" t="str">
        <f>"GUYOT ENVIRONNEMENT GUINGAMP"</f>
        <v>GUYOT ENVIRONNEMENT GUINGAMP</v>
      </c>
      <c r="C589" s="4">
        <v>334706066</v>
      </c>
      <c r="D589" s="3" t="s">
        <v>0</v>
      </c>
      <c r="E589" s="2" t="str">
        <f>"PR2200017D"</f>
        <v>PR2200017D</v>
      </c>
      <c r="F589" s="5">
        <v>41045</v>
      </c>
      <c r="G589" s="5">
        <v>54789</v>
      </c>
      <c r="H589" s="4" t="str">
        <f>""</f>
        <v/>
      </c>
      <c r="I589" s="4" t="str">
        <f>""</f>
        <v/>
      </c>
    </row>
    <row r="590" spans="1:9" x14ac:dyDescent="0.3">
      <c r="A590" s="1" t="str">
        <f>"22"</f>
        <v>22</v>
      </c>
      <c r="B590" s="4" t="str">
        <f>"GUYOT ENVIRONNEMENT GUINGAMP"</f>
        <v>GUYOT ENVIRONNEMENT GUINGAMP</v>
      </c>
      <c r="C590" s="4">
        <v>334706066</v>
      </c>
      <c r="D590" s="3" t="s">
        <v>0</v>
      </c>
      <c r="E590" s="2" t="str">
        <f>"0005500326"</f>
        <v>0005500326</v>
      </c>
      <c r="F590" s="5">
        <v>41045</v>
      </c>
      <c r="G590" s="5">
        <v>54789</v>
      </c>
      <c r="H590" s="4" t="str">
        <f>""</f>
        <v/>
      </c>
      <c r="I590" s="4" t="str">
        <f>""</f>
        <v/>
      </c>
    </row>
    <row r="591" spans="1:9" x14ac:dyDescent="0.3">
      <c r="A591" s="1" t="str">
        <f>"22"</f>
        <v>22</v>
      </c>
      <c r="B591" s="4" t="str">
        <f>"CASSE AUTO LE GUILLOU RENE"</f>
        <v>CASSE AUTO LE GUILLOU RENE</v>
      </c>
      <c r="C591" s="4">
        <v>340240431</v>
      </c>
      <c r="D591" s="3" t="s">
        <v>0</v>
      </c>
      <c r="E591" s="2" t="str">
        <f>"PR2200007D"</f>
        <v>PR2200007D</v>
      </c>
      <c r="F591" s="5">
        <v>38925</v>
      </c>
      <c r="G591" s="5">
        <v>54789</v>
      </c>
      <c r="H591" s="4" t="str">
        <f>""</f>
        <v/>
      </c>
      <c r="I591" s="4" t="str">
        <f>""</f>
        <v/>
      </c>
    </row>
    <row r="592" spans="1:9" x14ac:dyDescent="0.3">
      <c r="A592" s="1" t="str">
        <f>"22"</f>
        <v>22</v>
      </c>
      <c r="B592" s="4" t="str">
        <f>"CASSE AUTO LE GUILLOU RENE"</f>
        <v>CASSE AUTO LE GUILLOU RENE</v>
      </c>
      <c r="C592" s="4">
        <v>340240431</v>
      </c>
      <c r="D592" s="3" t="s">
        <v>0</v>
      </c>
      <c r="E592" s="2" t="str">
        <f>"PR2200024D"</f>
        <v>PR2200024D</v>
      </c>
      <c r="F592" s="5">
        <v>43426</v>
      </c>
      <c r="G592" s="5">
        <v>54789</v>
      </c>
      <c r="H592" s="4" t="str">
        <f>""</f>
        <v/>
      </c>
      <c r="I592" s="4" t="str">
        <f>""</f>
        <v/>
      </c>
    </row>
    <row r="593" spans="1:9" x14ac:dyDescent="0.3">
      <c r="A593" s="1" t="str">
        <f>"22"</f>
        <v>22</v>
      </c>
      <c r="B593" s="4" t="str">
        <f>"CASSE AUTO LE GUILLOU RENE"</f>
        <v>CASSE AUTO LE GUILLOU RENE</v>
      </c>
      <c r="C593" s="4">
        <v>340240431</v>
      </c>
      <c r="D593" s="3" t="s">
        <v>0</v>
      </c>
      <c r="E593" s="2" t="str">
        <f>"0005504182"</f>
        <v>0005504182</v>
      </c>
      <c r="F593" s="5">
        <v>43426</v>
      </c>
      <c r="G593" s="5">
        <v>54789</v>
      </c>
      <c r="H593" s="4" t="str">
        <f>""</f>
        <v/>
      </c>
      <c r="I593" s="4" t="str">
        <f>""</f>
        <v/>
      </c>
    </row>
    <row r="594" spans="1:9" x14ac:dyDescent="0.3">
      <c r="A594" s="1" t="str">
        <f>"22"</f>
        <v>22</v>
      </c>
      <c r="B594" s="4" t="str">
        <f>"ETS PEDRON"</f>
        <v>ETS PEDRON</v>
      </c>
      <c r="C594" s="4">
        <v>344504220</v>
      </c>
      <c r="D594" s="3" t="s">
        <v>0</v>
      </c>
      <c r="E594" s="2" t="str">
        <f>"PR2200003D"</f>
        <v>PR2200003D</v>
      </c>
      <c r="F594" s="5">
        <v>38869</v>
      </c>
      <c r="G594" s="5">
        <v>54789</v>
      </c>
      <c r="H594" s="4" t="str">
        <f>""</f>
        <v/>
      </c>
      <c r="I594" s="4" t="str">
        <f>""</f>
        <v/>
      </c>
    </row>
    <row r="595" spans="1:9" x14ac:dyDescent="0.3">
      <c r="A595" s="1" t="str">
        <f>"22"</f>
        <v>22</v>
      </c>
      <c r="B595" s="4" t="str">
        <f>"ETS PEDRON"</f>
        <v>ETS PEDRON</v>
      </c>
      <c r="C595" s="4">
        <v>344504220</v>
      </c>
      <c r="D595" s="3" t="s">
        <v>0</v>
      </c>
      <c r="E595" s="2" t="str">
        <f>"0005514057"</f>
        <v>0005514057</v>
      </c>
      <c r="F595" s="5">
        <v>38869</v>
      </c>
      <c r="G595" s="5">
        <v>54789</v>
      </c>
      <c r="H595" s="4" t="str">
        <f>""</f>
        <v/>
      </c>
      <c r="I595" s="4" t="str">
        <f>""</f>
        <v/>
      </c>
    </row>
    <row r="596" spans="1:9" x14ac:dyDescent="0.3">
      <c r="A596" s="1" t="str">
        <f>"22"</f>
        <v>22</v>
      </c>
      <c r="B596" s="4" t="str">
        <f>"SARL AFM RECYCLAGE"</f>
        <v>SARL AFM RECYCLAGE</v>
      </c>
      <c r="C596" s="4">
        <v>383482635</v>
      </c>
      <c r="D596" s="3" t="s">
        <v>0</v>
      </c>
      <c r="E596" s="2" t="str">
        <f>"PR2200008D"</f>
        <v>PR2200008D</v>
      </c>
      <c r="F596" s="5">
        <v>43348</v>
      </c>
      <c r="G596" s="5">
        <v>54789</v>
      </c>
      <c r="H596" s="4" t="str">
        <f>""</f>
        <v/>
      </c>
      <c r="I596" s="4" t="str">
        <f>""</f>
        <v/>
      </c>
    </row>
    <row r="597" spans="1:9" x14ac:dyDescent="0.3">
      <c r="A597" s="1" t="str">
        <f>"22"</f>
        <v>22</v>
      </c>
      <c r="B597" s="4" t="str">
        <f>"AFM RECYCLAGE"</f>
        <v>AFM RECYCLAGE</v>
      </c>
      <c r="C597" s="4">
        <v>383482635</v>
      </c>
      <c r="D597" s="3" t="s">
        <v>0</v>
      </c>
      <c r="E597" s="2" t="str">
        <f>"PR2200013D"</f>
        <v>PR2200013D</v>
      </c>
      <c r="F597" s="5">
        <v>43389</v>
      </c>
      <c r="G597" s="5">
        <v>54789</v>
      </c>
      <c r="H597" s="4" t="str">
        <f>""</f>
        <v/>
      </c>
      <c r="I597" s="4" t="str">
        <f>""</f>
        <v/>
      </c>
    </row>
    <row r="598" spans="1:9" x14ac:dyDescent="0.3">
      <c r="A598" s="1" t="str">
        <f>"22"</f>
        <v>22</v>
      </c>
      <c r="B598" s="4" t="str">
        <f>"AFM RECYCLAGE"</f>
        <v>AFM RECYCLAGE</v>
      </c>
      <c r="C598" s="4">
        <v>383482635</v>
      </c>
      <c r="D598" s="3" t="s">
        <v>0</v>
      </c>
      <c r="E598" s="2" t="str">
        <f>"PR2200021D"</f>
        <v>PR2200021D</v>
      </c>
      <c r="F598" s="5">
        <v>43389</v>
      </c>
      <c r="G598" s="5">
        <v>54789</v>
      </c>
      <c r="H598" s="4" t="str">
        <f>""</f>
        <v/>
      </c>
      <c r="I598" s="4" t="str">
        <f>""</f>
        <v/>
      </c>
    </row>
    <row r="599" spans="1:9" x14ac:dyDescent="0.3">
      <c r="A599" s="1" t="str">
        <f>"22"</f>
        <v>22</v>
      </c>
      <c r="B599" s="4" t="str">
        <f>"AFM RECYCLAGE"</f>
        <v>AFM RECYCLAGE</v>
      </c>
      <c r="C599" s="4">
        <v>383482635</v>
      </c>
      <c r="D599" s="3" t="s">
        <v>0</v>
      </c>
      <c r="E599" s="2" t="str">
        <f>"0005505250"</f>
        <v>0005505250</v>
      </c>
      <c r="F599" s="5">
        <v>43389</v>
      </c>
      <c r="G599" s="5">
        <v>54789</v>
      </c>
      <c r="H599" s="4" t="str">
        <f>""</f>
        <v/>
      </c>
      <c r="I599" s="4" t="str">
        <f>""</f>
        <v/>
      </c>
    </row>
    <row r="600" spans="1:9" x14ac:dyDescent="0.3">
      <c r="A600" s="1" t="str">
        <f>"22"</f>
        <v>22</v>
      </c>
      <c r="B600" s="4" t="str">
        <f>"SARL AFM RECYCLAGE"</f>
        <v>SARL AFM RECYCLAGE</v>
      </c>
      <c r="C600" s="4">
        <v>383482635</v>
      </c>
      <c r="D600" s="3" t="s">
        <v>0</v>
      </c>
      <c r="E600" s="2" t="str">
        <f>"0005500303"</f>
        <v>0005500303</v>
      </c>
      <c r="F600" s="5">
        <v>43348</v>
      </c>
      <c r="G600" s="5">
        <v>54789</v>
      </c>
      <c r="H600" s="4" t="str">
        <f>""</f>
        <v/>
      </c>
      <c r="I600" s="4" t="str">
        <f>""</f>
        <v/>
      </c>
    </row>
    <row r="601" spans="1:9" x14ac:dyDescent="0.3">
      <c r="A601" s="1" t="str">
        <f>"22"</f>
        <v>22</v>
      </c>
      <c r="B601" s="4" t="str">
        <f>"SARL AUTO PIECES 22"</f>
        <v>SARL AUTO PIECES 22</v>
      </c>
      <c r="C601" s="4">
        <v>432282374</v>
      </c>
      <c r="D601" s="3" t="s">
        <v>0</v>
      </c>
      <c r="E601" s="2" t="str">
        <f>"PR2200002D"</f>
        <v>PR2200002D</v>
      </c>
      <c r="F601" s="5">
        <v>38848</v>
      </c>
      <c r="G601" s="5">
        <v>54789</v>
      </c>
      <c r="H601" s="4" t="str">
        <f>""</f>
        <v/>
      </c>
      <c r="I601" s="4" t="str">
        <f>""</f>
        <v/>
      </c>
    </row>
    <row r="602" spans="1:9" x14ac:dyDescent="0.3">
      <c r="A602" s="1" t="str">
        <f>"22"</f>
        <v>22</v>
      </c>
      <c r="B602" s="4" t="str">
        <f>"SARL AUTO PIECES 22"</f>
        <v>SARL AUTO PIECES 22</v>
      </c>
      <c r="C602" s="4">
        <v>432282374</v>
      </c>
      <c r="D602" s="3" t="s">
        <v>0</v>
      </c>
      <c r="E602" s="2" t="str">
        <f>"0005503590"</f>
        <v>0005503590</v>
      </c>
      <c r="F602" s="5">
        <v>38848</v>
      </c>
      <c r="G602" s="5">
        <v>54789</v>
      </c>
      <c r="H602" s="4" t="str">
        <f>""</f>
        <v/>
      </c>
      <c r="I602" s="4" t="str">
        <f>""</f>
        <v/>
      </c>
    </row>
    <row r="603" spans="1:9" x14ac:dyDescent="0.3">
      <c r="A603" s="1" t="str">
        <f>"22"</f>
        <v>22</v>
      </c>
      <c r="B603" s="4" t="str">
        <f>"SARL GOELO CASS RECUP"</f>
        <v>SARL GOELO CASS RECUP</v>
      </c>
      <c r="C603" s="4">
        <v>439548819</v>
      </c>
      <c r="D603" s="3" t="s">
        <v>0</v>
      </c>
      <c r="E603" s="2" t="str">
        <f>"PR2200026D"</f>
        <v>PR2200026D</v>
      </c>
      <c r="F603" s="5">
        <v>43738</v>
      </c>
      <c r="G603" s="5">
        <v>54789</v>
      </c>
      <c r="H603" s="4" t="str">
        <f>""</f>
        <v/>
      </c>
      <c r="I603" s="4" t="str">
        <f>""</f>
        <v/>
      </c>
    </row>
    <row r="604" spans="1:9" x14ac:dyDescent="0.3">
      <c r="A604" s="1" t="str">
        <f>"22"</f>
        <v>22</v>
      </c>
      <c r="B604" s="4" t="str">
        <f>"SARL GOELO CASS RECUP"</f>
        <v>SARL GOELO CASS RECUP</v>
      </c>
      <c r="C604" s="4">
        <v>439548819</v>
      </c>
      <c r="D604" s="3" t="s">
        <v>0</v>
      </c>
      <c r="E604" s="2" t="str">
        <f>"0005510142"</f>
        <v>0005510142</v>
      </c>
      <c r="F604" s="5">
        <v>43738</v>
      </c>
      <c r="G604" s="5">
        <v>54789</v>
      </c>
      <c r="H604" s="4" t="str">
        <f>""</f>
        <v/>
      </c>
      <c r="I604" s="4" t="str">
        <f>""</f>
        <v/>
      </c>
    </row>
    <row r="605" spans="1:9" x14ac:dyDescent="0.3">
      <c r="A605" s="1" t="str">
        <f>"22"</f>
        <v>22</v>
      </c>
      <c r="B605" s="4" t="str">
        <f>"SN FORNES"</f>
        <v>SN FORNES</v>
      </c>
      <c r="C605" s="4">
        <v>441258597</v>
      </c>
      <c r="D605" s="3" t="s">
        <v>0</v>
      </c>
      <c r="E605" s="2" t="str">
        <f>"PR2200029D"</f>
        <v>PR2200029D</v>
      </c>
      <c r="F605" s="5">
        <v>44967</v>
      </c>
      <c r="G605" s="5">
        <v>54789</v>
      </c>
      <c r="H605" s="4" t="str">
        <f>""</f>
        <v/>
      </c>
      <c r="I605" s="4" t="str">
        <f>""</f>
        <v/>
      </c>
    </row>
    <row r="606" spans="1:9" x14ac:dyDescent="0.3">
      <c r="A606" s="1" t="str">
        <f>"22"</f>
        <v>22</v>
      </c>
      <c r="B606" s="4" t="str">
        <f>"SN FORNES"</f>
        <v>SN FORNES</v>
      </c>
      <c r="C606" s="4">
        <v>441258597</v>
      </c>
      <c r="D606" s="3" t="s">
        <v>0</v>
      </c>
      <c r="E606" s="2" t="str">
        <f>"0005500140"</f>
        <v>0005500140</v>
      </c>
      <c r="F606" s="5">
        <v>44967</v>
      </c>
      <c r="G606" s="5">
        <v>54789</v>
      </c>
      <c r="H606" s="4" t="str">
        <f>""</f>
        <v/>
      </c>
      <c r="I606" s="4" t="str">
        <f>""</f>
        <v/>
      </c>
    </row>
    <row r="607" spans="1:9" x14ac:dyDescent="0.3">
      <c r="A607" s="1" t="str">
        <f>"22"</f>
        <v>22</v>
      </c>
      <c r="B607" s="4" t="str">
        <f>"SARL RAHER AUTO DEMOLITION"</f>
        <v>SARL RAHER AUTO DEMOLITION</v>
      </c>
      <c r="C607" s="4">
        <v>453451197</v>
      </c>
      <c r="D607" s="3" t="s">
        <v>0</v>
      </c>
      <c r="E607" s="2" t="str">
        <f>"PR2200009D"</f>
        <v>PR2200009D</v>
      </c>
      <c r="F607" s="5">
        <v>38993</v>
      </c>
      <c r="G607" s="5">
        <v>54789</v>
      </c>
      <c r="H607" s="4" t="str">
        <f>""</f>
        <v/>
      </c>
      <c r="I607" s="4" t="str">
        <f>""</f>
        <v/>
      </c>
    </row>
    <row r="608" spans="1:9" x14ac:dyDescent="0.3">
      <c r="A608" s="1" t="str">
        <f>"22"</f>
        <v>22</v>
      </c>
      <c r="B608" s="4" t="str">
        <f>"SARL GUYOT ENVIRONNEMENT"</f>
        <v>SARL GUYOT ENVIRONNEMENT</v>
      </c>
      <c r="C608" s="4">
        <v>493286967</v>
      </c>
      <c r="D608" s="3" t="s">
        <v>0</v>
      </c>
      <c r="E608" s="2" t="str">
        <f>"PR2200019D"</f>
        <v>PR2200019D</v>
      </c>
      <c r="F608" s="5">
        <v>41190</v>
      </c>
      <c r="G608" s="5">
        <v>54789</v>
      </c>
      <c r="H608" s="4" t="str">
        <f>""</f>
        <v/>
      </c>
      <c r="I608" s="4" t="str">
        <f>""</f>
        <v/>
      </c>
    </row>
    <row r="609" spans="1:9" x14ac:dyDescent="0.3">
      <c r="A609" s="1" t="str">
        <f>"22"</f>
        <v>22</v>
      </c>
      <c r="B609" s="4" t="str">
        <f>"SARL GUYOT ENVIRONNEMENT"</f>
        <v>SARL GUYOT ENVIRONNEMENT</v>
      </c>
      <c r="C609" s="4">
        <v>493286967</v>
      </c>
      <c r="D609" s="3" t="s">
        <v>0</v>
      </c>
      <c r="E609" s="2" t="str">
        <f>"0005503937"</f>
        <v>0005503937</v>
      </c>
      <c r="F609" s="5">
        <v>41190</v>
      </c>
      <c r="G609" s="5">
        <v>54789</v>
      </c>
      <c r="H609" s="4" t="str">
        <f>""</f>
        <v/>
      </c>
      <c r="I609" s="4" t="str">
        <f>""</f>
        <v/>
      </c>
    </row>
    <row r="610" spans="1:9" x14ac:dyDescent="0.3">
      <c r="A610" s="1" t="str">
        <f>"22"</f>
        <v>22</v>
      </c>
      <c r="B610" s="4" t="str">
        <f>"SARL AUTO RECYCLAGE"</f>
        <v>SARL AUTO RECYCLAGE</v>
      </c>
      <c r="C610" s="4">
        <v>533056818</v>
      </c>
      <c r="D610" s="3" t="s">
        <v>0</v>
      </c>
      <c r="E610" s="2" t="str">
        <f>"PR2200004D"</f>
        <v>PR2200004D</v>
      </c>
      <c r="F610" s="5">
        <v>43138</v>
      </c>
      <c r="G610" s="5">
        <v>54789</v>
      </c>
      <c r="H610" s="4" t="str">
        <f>""</f>
        <v/>
      </c>
      <c r="I610" s="4" t="str">
        <f>""</f>
        <v/>
      </c>
    </row>
    <row r="611" spans="1:9" x14ac:dyDescent="0.3">
      <c r="A611" s="1" t="str">
        <f>"22"</f>
        <v>22</v>
      </c>
      <c r="B611" s="4" t="str">
        <f>"SARL AUTO RECYCLAGE"</f>
        <v>SARL AUTO RECYCLAGE</v>
      </c>
      <c r="C611" s="4">
        <v>533056818</v>
      </c>
      <c r="D611" s="3" t="s">
        <v>0</v>
      </c>
      <c r="E611" s="2" t="str">
        <f>"0005503692"</f>
        <v>0005503692</v>
      </c>
      <c r="F611" s="5">
        <v>40828</v>
      </c>
      <c r="G611" s="5">
        <v>54789</v>
      </c>
      <c r="H611" s="4" t="str">
        <f>""</f>
        <v/>
      </c>
      <c r="I611" s="4" t="str">
        <f>""</f>
        <v/>
      </c>
    </row>
    <row r="612" spans="1:9" x14ac:dyDescent="0.3">
      <c r="A612" s="1" t="str">
        <f>"22"</f>
        <v>22</v>
      </c>
      <c r="B612" s="4" t="str">
        <f>"GUILLERME FERRAILLES EURL"</f>
        <v>GUILLERME FERRAILLES EURL</v>
      </c>
      <c r="C612" s="4">
        <v>540035516</v>
      </c>
      <c r="D612" s="3" t="s">
        <v>0</v>
      </c>
      <c r="E612" s="2" t="str">
        <f>"PR2200022D"</f>
        <v>PR2200022D</v>
      </c>
      <c r="F612" s="5">
        <v>42944</v>
      </c>
      <c r="G612" s="5">
        <v>54789</v>
      </c>
      <c r="H612" s="4" t="str">
        <f>""</f>
        <v/>
      </c>
      <c r="I612" s="4" t="str">
        <f>""</f>
        <v/>
      </c>
    </row>
    <row r="613" spans="1:9" x14ac:dyDescent="0.3">
      <c r="A613" s="1" t="str">
        <f>"22"</f>
        <v>22</v>
      </c>
      <c r="B613" s="4" t="str">
        <f>"GUILLERME FERRAILLES EURL"</f>
        <v>GUILLERME FERRAILLES EURL</v>
      </c>
      <c r="C613" s="4">
        <v>540035516</v>
      </c>
      <c r="D613" s="3" t="s">
        <v>0</v>
      </c>
      <c r="E613" s="2" t="str">
        <f>"0005517981"</f>
        <v>0005517981</v>
      </c>
      <c r="F613" s="5">
        <v>42944</v>
      </c>
      <c r="G613" s="5">
        <v>54789</v>
      </c>
      <c r="H613" s="4" t="str">
        <f>""</f>
        <v/>
      </c>
      <c r="I613" s="4" t="str">
        <f>""</f>
        <v/>
      </c>
    </row>
    <row r="614" spans="1:9" x14ac:dyDescent="0.3">
      <c r="A614" s="1" t="str">
        <f>"22"</f>
        <v>22</v>
      </c>
      <c r="B614" s="4" t="str">
        <f>"SAS ROMI"</f>
        <v>SAS ROMI</v>
      </c>
      <c r="C614" s="4">
        <v>639200484</v>
      </c>
      <c r="D614" s="3" t="s">
        <v>0</v>
      </c>
      <c r="E614" s="2" t="str">
        <f>"PR2200012D"</f>
        <v>PR2200012D</v>
      </c>
      <c r="F614" s="5">
        <v>39056</v>
      </c>
      <c r="G614" s="5">
        <v>54789</v>
      </c>
      <c r="H614" s="4" t="str">
        <f>""</f>
        <v/>
      </c>
      <c r="I614" s="4" t="str">
        <f>""</f>
        <v/>
      </c>
    </row>
    <row r="615" spans="1:9" x14ac:dyDescent="0.3">
      <c r="A615" s="1" t="str">
        <f>"22"</f>
        <v>22</v>
      </c>
      <c r="B615" s="4" t="str">
        <f>"SAS ROMI"</f>
        <v>SAS ROMI</v>
      </c>
      <c r="C615" s="4">
        <v>639200484</v>
      </c>
      <c r="D615" s="3" t="s">
        <v>0</v>
      </c>
      <c r="E615" s="2" t="str">
        <f>"PR2200014D"</f>
        <v>PR2200014D</v>
      </c>
      <c r="F615" s="5">
        <v>39183</v>
      </c>
      <c r="G615" s="5">
        <v>54789</v>
      </c>
      <c r="H615" s="4" t="str">
        <f>""</f>
        <v/>
      </c>
      <c r="I615" s="4" t="str">
        <f>""</f>
        <v/>
      </c>
    </row>
    <row r="616" spans="1:9" x14ac:dyDescent="0.3">
      <c r="A616" s="1" t="str">
        <f>"22"</f>
        <v>22</v>
      </c>
      <c r="B616" s="4" t="str">
        <f>"SAS ROMI"</f>
        <v>SAS ROMI</v>
      </c>
      <c r="C616" s="4">
        <v>639200484</v>
      </c>
      <c r="D616" s="3" t="s">
        <v>0</v>
      </c>
      <c r="E616" s="2" t="str">
        <f>"0005503670"</f>
        <v>0005503670</v>
      </c>
      <c r="F616" s="5">
        <v>39056</v>
      </c>
      <c r="G616" s="5">
        <v>54789</v>
      </c>
      <c r="H616" s="4" t="str">
        <f>""</f>
        <v/>
      </c>
      <c r="I616" s="4" t="str">
        <f>""</f>
        <v/>
      </c>
    </row>
    <row r="617" spans="1:9" x14ac:dyDescent="0.3">
      <c r="A617" s="1" t="str">
        <f>"22"</f>
        <v>22</v>
      </c>
      <c r="B617" s="4" t="str">
        <f>"SAS ROMI"</f>
        <v>SAS ROMI</v>
      </c>
      <c r="C617" s="4">
        <v>639200484</v>
      </c>
      <c r="D617" s="3" t="s">
        <v>0</v>
      </c>
      <c r="E617" s="2" t="str">
        <f>"0005504136"</f>
        <v>0005504136</v>
      </c>
      <c r="F617" s="5">
        <v>39183</v>
      </c>
      <c r="G617" s="5">
        <v>54789</v>
      </c>
      <c r="H617" s="4" t="str">
        <f>""</f>
        <v/>
      </c>
      <c r="I617" s="4" t="str">
        <f>""</f>
        <v/>
      </c>
    </row>
    <row r="618" spans="1:9" x14ac:dyDescent="0.3">
      <c r="A618" s="1" t="str">
        <f>"22"</f>
        <v>22</v>
      </c>
      <c r="B618" s="4" t="str">
        <f>"SAS VANDENKERCKHOVE"</f>
        <v>SAS VANDENKERCKHOVE</v>
      </c>
      <c r="C618" s="4">
        <v>788184968</v>
      </c>
      <c r="D618" s="3" t="s">
        <v>0</v>
      </c>
      <c r="E618" s="2" t="str">
        <f>"PR2200001D"</f>
        <v>PR2200001D</v>
      </c>
      <c r="F618" s="5">
        <v>38771</v>
      </c>
      <c r="G618" s="5">
        <v>54789</v>
      </c>
      <c r="H618" s="4" t="str">
        <f>""</f>
        <v/>
      </c>
      <c r="I618" s="4" t="str">
        <f>""</f>
        <v/>
      </c>
    </row>
    <row r="619" spans="1:9" x14ac:dyDescent="0.3">
      <c r="A619" s="1" t="str">
        <f>"22"</f>
        <v>22</v>
      </c>
      <c r="B619" s="4" t="str">
        <f>"SAS VANDENKERCKHOVE"</f>
        <v>SAS VANDENKERCKHOVE</v>
      </c>
      <c r="C619" s="4">
        <v>788184968</v>
      </c>
      <c r="D619" s="3" t="s">
        <v>0</v>
      </c>
      <c r="E619" s="2" t="str">
        <f>"0005504187"</f>
        <v>0005504187</v>
      </c>
      <c r="F619" s="5">
        <v>43397</v>
      </c>
      <c r="G619" s="5">
        <v>54789</v>
      </c>
      <c r="H619" s="4" t="str">
        <f>""</f>
        <v/>
      </c>
      <c r="I619" s="4" t="str">
        <f>""</f>
        <v/>
      </c>
    </row>
    <row r="620" spans="1:9" x14ac:dyDescent="0.3">
      <c r="A620" s="1" t="str">
        <f>"22"</f>
        <v>22</v>
      </c>
      <c r="B620" s="4" t="str">
        <f>"JAMET BOIS ENERGIE"</f>
        <v>JAMET BOIS ENERGIE</v>
      </c>
      <c r="C620" s="4">
        <v>802466847</v>
      </c>
      <c r="D620" s="3" t="s">
        <v>0</v>
      </c>
      <c r="E620" s="2" t="str">
        <f>"PR2200030D"</f>
        <v>PR2200030D</v>
      </c>
      <c r="F620" s="5">
        <v>45243</v>
      </c>
      <c r="G620" s="5">
        <v>54789</v>
      </c>
      <c r="H620" s="4" t="str">
        <f>""</f>
        <v/>
      </c>
      <c r="I620" s="4" t="str">
        <f>""</f>
        <v/>
      </c>
    </row>
    <row r="621" spans="1:9" x14ac:dyDescent="0.3">
      <c r="A621" s="1" t="str">
        <f>"22"</f>
        <v>22</v>
      </c>
      <c r="B621" s="4" t="str">
        <f>"JAMET BOIS ENERGIE"</f>
        <v>JAMET BOIS ENERGIE</v>
      </c>
      <c r="C621" s="4">
        <v>802466847</v>
      </c>
      <c r="D621" s="3" t="s">
        <v>0</v>
      </c>
      <c r="E621" s="2" t="str">
        <f>"0100004512"</f>
        <v>0100004512</v>
      </c>
      <c r="F621" s="5">
        <v>45243</v>
      </c>
      <c r="G621" s="5">
        <v>54789</v>
      </c>
      <c r="H621" s="4" t="str">
        <f>""</f>
        <v/>
      </c>
      <c r="I621" s="4" t="str">
        <f>""</f>
        <v/>
      </c>
    </row>
    <row r="622" spans="1:9" x14ac:dyDescent="0.3">
      <c r="A622" s="1" t="str">
        <f>"22"</f>
        <v>22</v>
      </c>
      <c r="B622" s="4" t="str">
        <f>"SJ AUTO"</f>
        <v>SJ AUTO</v>
      </c>
      <c r="C622" s="4">
        <v>803926005</v>
      </c>
      <c r="D622" s="3" t="s">
        <v>0</v>
      </c>
      <c r="E622" s="2" t="str">
        <f>"PR2200006D"</f>
        <v>PR2200006D</v>
      </c>
      <c r="F622" s="5">
        <v>42998</v>
      </c>
      <c r="G622" s="5">
        <v>54789</v>
      </c>
      <c r="H622" s="4" t="str">
        <f>""</f>
        <v/>
      </c>
      <c r="I622" s="4" t="str">
        <f>""</f>
        <v/>
      </c>
    </row>
    <row r="623" spans="1:9" x14ac:dyDescent="0.3">
      <c r="A623" s="1" t="str">
        <f>"22"</f>
        <v>22</v>
      </c>
      <c r="B623" s="4" t="str">
        <f>"SJ AUTO"</f>
        <v>SJ AUTO</v>
      </c>
      <c r="C623" s="4">
        <v>803926005</v>
      </c>
      <c r="D623" s="3" t="s">
        <v>0</v>
      </c>
      <c r="E623" s="2" t="str">
        <f>"0005500087"</f>
        <v>0005500087</v>
      </c>
      <c r="F623" s="5">
        <v>42998</v>
      </c>
      <c r="G623" s="5">
        <v>54789</v>
      </c>
      <c r="H623" s="4" t="str">
        <f>""</f>
        <v/>
      </c>
      <c r="I623" s="4" t="str">
        <f>""</f>
        <v/>
      </c>
    </row>
    <row r="624" spans="1:9" x14ac:dyDescent="0.3">
      <c r="A624" s="1" t="str">
        <f>"22"</f>
        <v>22</v>
      </c>
      <c r="B624" s="4" t="str">
        <f>"SOCIETE HERVE ENVIRONNEMENT"</f>
        <v>SOCIETE HERVE ENVIRONNEMENT</v>
      </c>
      <c r="C624" s="4">
        <v>828183715</v>
      </c>
      <c r="D624" s="3" t="s">
        <v>0</v>
      </c>
      <c r="E624" s="2" t="str">
        <f>"PR2200027D"</f>
        <v>PR2200027D</v>
      </c>
      <c r="F624" s="5">
        <v>43811</v>
      </c>
      <c r="G624" s="5">
        <v>54789</v>
      </c>
      <c r="H624" s="4" t="str">
        <f>""</f>
        <v/>
      </c>
      <c r="I624" s="4" t="str">
        <f>""</f>
        <v/>
      </c>
    </row>
    <row r="625" spans="1:9" x14ac:dyDescent="0.3">
      <c r="A625" s="1" t="str">
        <f>"22"</f>
        <v>22</v>
      </c>
      <c r="B625" s="4" t="str">
        <f>"SOCIETE HERVE ENVIRONNEMENT"</f>
        <v>SOCIETE HERVE ENVIRONNEMENT</v>
      </c>
      <c r="C625" s="4">
        <v>828183715</v>
      </c>
      <c r="D625" s="3" t="s">
        <v>0</v>
      </c>
      <c r="E625" s="2" t="str">
        <f>"0005516675"</f>
        <v>0005516675</v>
      </c>
      <c r="F625" s="5">
        <v>43811</v>
      </c>
      <c r="G625" s="5">
        <v>54789</v>
      </c>
      <c r="H625" s="4" t="str">
        <f>""</f>
        <v/>
      </c>
      <c r="I625" s="4" t="str">
        <f>""</f>
        <v/>
      </c>
    </row>
    <row r="626" spans="1:9" x14ac:dyDescent="0.3">
      <c r="A626" s="1" t="str">
        <f>"22"</f>
        <v>22</v>
      </c>
      <c r="B626" s="4" t="str">
        <f>"AUTO 22"</f>
        <v>AUTO 22</v>
      </c>
      <c r="C626" s="4">
        <v>882479405</v>
      </c>
      <c r="D626" s="3" t="s">
        <v>0</v>
      </c>
      <c r="E626" s="2" t="str">
        <f>"PR2200028D"</f>
        <v>PR2200028D</v>
      </c>
      <c r="F626" s="5">
        <v>44634</v>
      </c>
      <c r="G626" s="5">
        <v>54789</v>
      </c>
      <c r="H626" s="4" t="str">
        <f>""</f>
        <v/>
      </c>
      <c r="I626" s="4" t="str">
        <f>""</f>
        <v/>
      </c>
    </row>
    <row r="627" spans="1:9" x14ac:dyDescent="0.3">
      <c r="A627" s="1" t="str">
        <f>"22"</f>
        <v>22</v>
      </c>
      <c r="B627" s="4" t="str">
        <f>"AUTO 22"</f>
        <v>AUTO 22</v>
      </c>
      <c r="C627" s="4">
        <v>882479405</v>
      </c>
      <c r="D627" s="3" t="s">
        <v>0</v>
      </c>
      <c r="E627" s="2" t="str">
        <f>"0005504210"</f>
        <v>0005504210</v>
      </c>
      <c r="F627" s="5">
        <v>44634</v>
      </c>
      <c r="G627" s="5">
        <v>54789</v>
      </c>
      <c r="H627" s="4" t="str">
        <f>""</f>
        <v/>
      </c>
      <c r="I627" s="4" t="str">
        <f>""</f>
        <v/>
      </c>
    </row>
    <row r="628" spans="1:9" x14ac:dyDescent="0.3">
      <c r="A628" s="1" t="str">
        <f>"22"</f>
        <v>22</v>
      </c>
      <c r="B628" s="4" t="str">
        <f>"AFM RECYCLAGE"</f>
        <v>AFM RECYCLAGE</v>
      </c>
      <c r="C628" s="4">
        <v>3834826350</v>
      </c>
      <c r="D628" s="3" t="s">
        <v>0</v>
      </c>
      <c r="E628" s="2" t="str">
        <f>"0005503589"</f>
        <v>0005503589</v>
      </c>
      <c r="F628" s="5">
        <v>43389</v>
      </c>
      <c r="G628" s="5">
        <v>54789</v>
      </c>
      <c r="H628" s="4" t="str">
        <f>""</f>
        <v/>
      </c>
      <c r="I628" s="4" t="str">
        <f>""</f>
        <v/>
      </c>
    </row>
    <row r="629" spans="1:9" x14ac:dyDescent="0.3">
      <c r="A629" s="1" t="str">
        <f>"23"</f>
        <v>23</v>
      </c>
      <c r="B629" s="4" t="str">
        <f>"ANZEME RECUP"</f>
        <v>ANZEME RECUP</v>
      </c>
      <c r="C629" s="4">
        <v>344652904</v>
      </c>
      <c r="D629" s="3" t="s">
        <v>0</v>
      </c>
      <c r="E629" s="2" t="str">
        <f>"PR2300005D"</f>
        <v>PR2300005D</v>
      </c>
      <c r="F629" s="5">
        <v>39806</v>
      </c>
      <c r="G629" s="5">
        <v>54789</v>
      </c>
      <c r="H629" s="4" t="str">
        <f>""</f>
        <v/>
      </c>
      <c r="I629" s="4" t="str">
        <f>""</f>
        <v/>
      </c>
    </row>
    <row r="630" spans="1:9" x14ac:dyDescent="0.3">
      <c r="A630" s="1" t="str">
        <f>"23"</f>
        <v>23</v>
      </c>
      <c r="B630" s="4" t="str">
        <f>"ANZEME RECUP"</f>
        <v>ANZEME RECUP</v>
      </c>
      <c r="C630" s="4">
        <v>344652904</v>
      </c>
      <c r="D630" s="3" t="s">
        <v>0</v>
      </c>
      <c r="E630" s="2" t="str">
        <f>"0006003151"</f>
        <v>0006003151</v>
      </c>
      <c r="F630" s="5">
        <v>39806</v>
      </c>
      <c r="G630" s="5">
        <v>54789</v>
      </c>
      <c r="H630" s="4" t="str">
        <f>""</f>
        <v/>
      </c>
      <c r="I630" s="4" t="str">
        <f>""</f>
        <v/>
      </c>
    </row>
    <row r="631" spans="1:9" x14ac:dyDescent="0.3">
      <c r="A631" s="1" t="str">
        <f>"23"</f>
        <v>23</v>
      </c>
      <c r="B631" s="4" t="str">
        <f>"SAS AUTO CASSE FERRARI"</f>
        <v>SAS AUTO CASSE FERRARI</v>
      </c>
      <c r="C631" s="4">
        <v>834082190</v>
      </c>
      <c r="D631" s="3" t="s">
        <v>0</v>
      </c>
      <c r="E631" s="2" t="str">
        <f>"PR2300004D"</f>
        <v>PR2300004D</v>
      </c>
      <c r="F631" s="5">
        <v>43146</v>
      </c>
      <c r="G631" s="5">
        <v>54789</v>
      </c>
      <c r="H631" s="4" t="str">
        <f>""</f>
        <v/>
      </c>
      <c r="I631" s="4" t="str">
        <f>""</f>
        <v/>
      </c>
    </row>
    <row r="632" spans="1:9" x14ac:dyDescent="0.3">
      <c r="A632" s="1" t="str">
        <f>"23"</f>
        <v>23</v>
      </c>
      <c r="B632" s="4" t="str">
        <f>"SAS AUTO CASSE FERRARI"</f>
        <v>SAS AUTO CASSE FERRARI</v>
      </c>
      <c r="C632" s="4">
        <v>834082190</v>
      </c>
      <c r="D632" s="3" t="s">
        <v>0</v>
      </c>
      <c r="E632" s="2" t="str">
        <f>"0006003116"</f>
        <v>0006003116</v>
      </c>
      <c r="F632" s="5">
        <v>43146</v>
      </c>
      <c r="G632" s="5">
        <v>54789</v>
      </c>
      <c r="H632" s="4" t="str">
        <f>""</f>
        <v/>
      </c>
      <c r="I632" s="4" t="str">
        <f>""</f>
        <v/>
      </c>
    </row>
    <row r="633" spans="1:9" x14ac:dyDescent="0.3">
      <c r="A633" s="1" t="str">
        <f>"23"</f>
        <v>23</v>
      </c>
      <c r="B633" s="4" t="str">
        <f>"CASSE AUTOS MARTIN"</f>
        <v>CASSE AUTOS MARTIN</v>
      </c>
      <c r="C633" s="4">
        <v>845096668</v>
      </c>
      <c r="D633" s="3" t="s">
        <v>0</v>
      </c>
      <c r="E633" s="2" t="str">
        <f>"PR2300003D"</f>
        <v>PR2300003D</v>
      </c>
      <c r="F633" s="5">
        <v>43404</v>
      </c>
      <c r="G633" s="5">
        <v>54789</v>
      </c>
      <c r="H633" s="4" t="str">
        <f>""</f>
        <v/>
      </c>
      <c r="I633" s="4" t="str">
        <f>""</f>
        <v/>
      </c>
    </row>
    <row r="634" spans="1:9" x14ac:dyDescent="0.3">
      <c r="A634" s="1" t="str">
        <f>"23"</f>
        <v>23</v>
      </c>
      <c r="B634" s="4" t="str">
        <f>"CASSE AUTOS MARTIN"</f>
        <v>CASSE AUTOS MARTIN</v>
      </c>
      <c r="C634" s="4">
        <v>845096668</v>
      </c>
      <c r="D634" s="3" t="s">
        <v>0</v>
      </c>
      <c r="E634" s="2" t="str">
        <f>"0006000433"</f>
        <v>0006000433</v>
      </c>
      <c r="F634" s="5">
        <v>43404</v>
      </c>
      <c r="G634" s="5">
        <v>54789</v>
      </c>
      <c r="H634" s="4" t="str">
        <f>""</f>
        <v/>
      </c>
      <c r="I634" s="4" t="str">
        <f>""</f>
        <v/>
      </c>
    </row>
    <row r="635" spans="1:9" x14ac:dyDescent="0.3">
      <c r="A635" s="1" t="str">
        <f>"23"</f>
        <v>23</v>
      </c>
      <c r="B635" s="4" t="str">
        <f>"EDAC RECYCLAGE"</f>
        <v>EDAC RECYCLAGE</v>
      </c>
      <c r="C635" s="4">
        <v>900803115</v>
      </c>
      <c r="D635" s="3" t="s">
        <v>0</v>
      </c>
      <c r="E635" s="2" t="str">
        <f>"PR2300002D"</f>
        <v>PR2300002D</v>
      </c>
      <c r="F635" s="5">
        <v>44404</v>
      </c>
      <c r="G635" s="5">
        <v>54789</v>
      </c>
      <c r="H635" s="4" t="str">
        <f>""</f>
        <v/>
      </c>
      <c r="I635" s="4" t="str">
        <f>""</f>
        <v/>
      </c>
    </row>
    <row r="636" spans="1:9" x14ac:dyDescent="0.3">
      <c r="A636" s="1" t="str">
        <f>"23"</f>
        <v>23</v>
      </c>
      <c r="B636" s="4" t="str">
        <f>"EDAC RECYCLAGE"</f>
        <v>EDAC RECYCLAGE</v>
      </c>
      <c r="C636" s="4">
        <v>900803115</v>
      </c>
      <c r="D636" s="3" t="s">
        <v>0</v>
      </c>
      <c r="E636" s="2" t="str">
        <f>"0006000435"</f>
        <v>0006000435</v>
      </c>
      <c r="F636" s="5">
        <v>44404</v>
      </c>
      <c r="G636" s="5">
        <v>54789</v>
      </c>
      <c r="H636" s="4" t="str">
        <f>""</f>
        <v/>
      </c>
      <c r="I636" s="4" t="str">
        <f>""</f>
        <v/>
      </c>
    </row>
    <row r="637" spans="1:9" x14ac:dyDescent="0.3">
      <c r="A637" s="1" t="str">
        <f>"24"</f>
        <v>24</v>
      </c>
      <c r="B637" s="4" t="str">
        <f>"DEPANNAGE VERDIER Philippe SAS"</f>
        <v>DEPANNAGE VERDIER Philippe SAS</v>
      </c>
      <c r="C637" s="4">
        <v>339088924</v>
      </c>
      <c r="D637" s="3" t="s">
        <v>0</v>
      </c>
      <c r="E637" s="2" t="str">
        <f>"PR2400010D"</f>
        <v>PR2400010D</v>
      </c>
      <c r="F637" s="5">
        <v>44894</v>
      </c>
      <c r="G637" s="5">
        <v>54789</v>
      </c>
      <c r="H637" s="4" t="str">
        <f>""</f>
        <v/>
      </c>
      <c r="I637" s="4" t="str">
        <f>""</f>
        <v/>
      </c>
    </row>
    <row r="638" spans="1:9" x14ac:dyDescent="0.3">
      <c r="A638" s="1" t="str">
        <f>"24"</f>
        <v>24</v>
      </c>
      <c r="B638" s="4" t="str">
        <f>"DEPANNAGE VERDIER Philippe SAS"</f>
        <v>DEPANNAGE VERDIER Philippe SAS</v>
      </c>
      <c r="C638" s="4">
        <v>339088924</v>
      </c>
      <c r="D638" s="3" t="s">
        <v>0</v>
      </c>
      <c r="E638" s="2" t="str">
        <f>"0005200222"</f>
        <v>0005200222</v>
      </c>
      <c r="F638" s="5">
        <v>44894</v>
      </c>
      <c r="G638" s="5">
        <v>54789</v>
      </c>
      <c r="H638" s="4" t="str">
        <f>""</f>
        <v/>
      </c>
      <c r="I638" s="4" t="str">
        <f>""</f>
        <v/>
      </c>
    </row>
    <row r="639" spans="1:9" x14ac:dyDescent="0.3">
      <c r="A639" s="1" t="str">
        <f>"24"</f>
        <v>24</v>
      </c>
      <c r="B639" s="4" t="str">
        <f>"SARL TRANS METAL"</f>
        <v>SARL TRANS METAL</v>
      </c>
      <c r="C639" s="4">
        <v>347419202</v>
      </c>
      <c r="D639" s="3" t="s">
        <v>0</v>
      </c>
      <c r="E639" s="2" t="str">
        <f>"PR2400006D"</f>
        <v>PR2400006D</v>
      </c>
      <c r="F639" s="5">
        <v>44321</v>
      </c>
      <c r="G639" s="5">
        <v>54789</v>
      </c>
      <c r="H639" s="4" t="str">
        <f>""</f>
        <v/>
      </c>
      <c r="I639" s="4" t="str">
        <f>""</f>
        <v/>
      </c>
    </row>
    <row r="640" spans="1:9" x14ac:dyDescent="0.3">
      <c r="A640" s="1" t="str">
        <f>"24"</f>
        <v>24</v>
      </c>
      <c r="B640" s="4" t="str">
        <f>"SARL TRANS METAL"</f>
        <v>SARL TRANS METAL</v>
      </c>
      <c r="C640" s="4">
        <v>347419202</v>
      </c>
      <c r="D640" s="3" t="s">
        <v>0</v>
      </c>
      <c r="E640" s="2" t="str">
        <f>"0005200235"</f>
        <v>0005200235</v>
      </c>
      <c r="F640" s="5">
        <v>44321</v>
      </c>
      <c r="G640" s="5">
        <v>54789</v>
      </c>
      <c r="H640" s="4" t="str">
        <f>""</f>
        <v/>
      </c>
      <c r="I640" s="4" t="str">
        <f>""</f>
        <v/>
      </c>
    </row>
    <row r="641" spans="1:9" x14ac:dyDescent="0.3">
      <c r="A641" s="1" t="str">
        <f>"24"</f>
        <v>24</v>
      </c>
      <c r="B641" s="4" t="str">
        <f>"NOVU 24"</f>
        <v>NOVU 24</v>
      </c>
      <c r="C641" s="4">
        <v>378421739</v>
      </c>
      <c r="D641" s="3" t="s">
        <v>0</v>
      </c>
      <c r="E641" s="2" t="str">
        <f>"PR2400001D"</f>
        <v>PR2400001D</v>
      </c>
      <c r="F641" s="5">
        <v>44491</v>
      </c>
      <c r="G641" s="5">
        <v>54789</v>
      </c>
      <c r="H641" s="4" t="str">
        <f>""</f>
        <v/>
      </c>
      <c r="I641" s="4" t="str">
        <f>""</f>
        <v/>
      </c>
    </row>
    <row r="642" spans="1:9" x14ac:dyDescent="0.3">
      <c r="A642" s="1" t="str">
        <f>"24"</f>
        <v>24</v>
      </c>
      <c r="B642" s="4" t="str">
        <f>"NOVU 24"</f>
        <v>NOVU 24</v>
      </c>
      <c r="C642" s="4">
        <v>378421739</v>
      </c>
      <c r="D642" s="3" t="s">
        <v>0</v>
      </c>
      <c r="E642" s="2" t="str">
        <f>"0005200009"</f>
        <v>0005200009</v>
      </c>
      <c r="F642" s="5">
        <v>44491</v>
      </c>
      <c r="G642" s="5">
        <v>54789</v>
      </c>
      <c r="H642" s="4" t="str">
        <f>""</f>
        <v/>
      </c>
      <c r="I642" s="4" t="str">
        <f>""</f>
        <v/>
      </c>
    </row>
    <row r="643" spans="1:9" x14ac:dyDescent="0.3">
      <c r="A643" s="1" t="str">
        <f>"24"</f>
        <v>24</v>
      </c>
      <c r="B643" s="4" t="str">
        <f>"SARL RECUP AUTO 24"</f>
        <v>SARL RECUP AUTO 24</v>
      </c>
      <c r="C643" s="4">
        <v>382540201</v>
      </c>
      <c r="D643" s="3" t="s">
        <v>0</v>
      </c>
      <c r="E643" s="2" t="str">
        <f>"PR2400005D"</f>
        <v>PR2400005D</v>
      </c>
      <c r="F643" s="5">
        <v>44491</v>
      </c>
      <c r="G643" s="5">
        <v>54789</v>
      </c>
      <c r="H643" s="4" t="str">
        <f>""</f>
        <v/>
      </c>
      <c r="I643" s="4" t="str">
        <f>""</f>
        <v/>
      </c>
    </row>
    <row r="644" spans="1:9" x14ac:dyDescent="0.3">
      <c r="A644" s="1" t="str">
        <f>"24"</f>
        <v>24</v>
      </c>
      <c r="B644" s="4" t="str">
        <f>"SARL RECUP AUTO 24"</f>
        <v>SARL RECUP AUTO 24</v>
      </c>
      <c r="C644" s="4">
        <v>382540201</v>
      </c>
      <c r="D644" s="3" t="s">
        <v>0</v>
      </c>
      <c r="E644" s="2" t="str">
        <f>"0005200108"</f>
        <v>0005200108</v>
      </c>
      <c r="F644" s="5">
        <v>44491</v>
      </c>
      <c r="G644" s="5">
        <v>54789</v>
      </c>
      <c r="H644" s="4" t="str">
        <f>""</f>
        <v/>
      </c>
      <c r="I644" s="4" t="str">
        <f>""</f>
        <v/>
      </c>
    </row>
    <row r="645" spans="1:9" x14ac:dyDescent="0.3">
      <c r="A645" s="1" t="str">
        <f>"24"</f>
        <v>24</v>
      </c>
      <c r="B645" s="4" t="str">
        <f>"NANTHIAT AUTO CASSE"</f>
        <v>NANTHIAT AUTO CASSE</v>
      </c>
      <c r="C645" s="4">
        <v>387748569</v>
      </c>
      <c r="D645" s="3" t="s">
        <v>0</v>
      </c>
      <c r="E645" s="2" t="str">
        <f>"PR2400009D"</f>
        <v>PR2400009D</v>
      </c>
      <c r="F645" s="5">
        <v>44491</v>
      </c>
      <c r="G645" s="5">
        <v>54789</v>
      </c>
      <c r="H645" s="4" t="str">
        <f>""</f>
        <v/>
      </c>
      <c r="I645" s="4" t="str">
        <f>""</f>
        <v/>
      </c>
    </row>
    <row r="646" spans="1:9" x14ac:dyDescent="0.3">
      <c r="A646" s="1" t="str">
        <f>"24"</f>
        <v>24</v>
      </c>
      <c r="B646" s="4" t="str">
        <f>"NANTHIAT AUTO CASSE"</f>
        <v>NANTHIAT AUTO CASSE</v>
      </c>
      <c r="C646" s="4">
        <v>387748569</v>
      </c>
      <c r="D646" s="3" t="s">
        <v>0</v>
      </c>
      <c r="E646" s="2" t="str">
        <f>"0005200115"</f>
        <v>0005200115</v>
      </c>
      <c r="F646" s="5">
        <v>44491</v>
      </c>
      <c r="G646" s="5">
        <v>54789</v>
      </c>
      <c r="H646" s="4" t="str">
        <f>""</f>
        <v/>
      </c>
      <c r="I646" s="4" t="str">
        <f>""</f>
        <v/>
      </c>
    </row>
    <row r="647" spans="1:9" x14ac:dyDescent="0.3">
      <c r="A647" s="1" t="str">
        <f>"24"</f>
        <v>24</v>
      </c>
      <c r="B647" s="4" t="str">
        <f>"SARL VAZEUX"</f>
        <v>SARL VAZEUX</v>
      </c>
      <c r="C647" s="4">
        <v>389057084</v>
      </c>
      <c r="D647" s="3" t="s">
        <v>0</v>
      </c>
      <c r="E647" s="2" t="str">
        <f>"PR2400004D"</f>
        <v>PR2400004D</v>
      </c>
      <c r="F647" s="5">
        <v>44321</v>
      </c>
      <c r="G647" s="5">
        <v>54789</v>
      </c>
      <c r="H647" s="4" t="str">
        <f>""</f>
        <v/>
      </c>
      <c r="I647" s="4" t="str">
        <f>""</f>
        <v/>
      </c>
    </row>
    <row r="648" spans="1:9" x14ac:dyDescent="0.3">
      <c r="A648" s="1" t="str">
        <f>"24"</f>
        <v>24</v>
      </c>
      <c r="B648" s="4" t="str">
        <f>"SARL VAZEUX"</f>
        <v>SARL VAZEUX</v>
      </c>
      <c r="C648" s="4">
        <v>389057084</v>
      </c>
      <c r="D648" s="3" t="s">
        <v>0</v>
      </c>
      <c r="E648" s="2" t="str">
        <f>"0005200208"</f>
        <v>0005200208</v>
      </c>
      <c r="F648" s="5">
        <v>44321</v>
      </c>
      <c r="G648" s="5">
        <v>54789</v>
      </c>
      <c r="H648" s="4" t="str">
        <f>""</f>
        <v/>
      </c>
      <c r="I648" s="4" t="str">
        <f>""</f>
        <v/>
      </c>
    </row>
    <row r="649" spans="1:9" x14ac:dyDescent="0.3">
      <c r="A649" s="1" t="str">
        <f>"24"</f>
        <v>24</v>
      </c>
      <c r="B649" s="4" t="str">
        <f>"SARL ARTASO"</f>
        <v>SARL ARTASO</v>
      </c>
      <c r="C649" s="4">
        <v>391085644</v>
      </c>
      <c r="D649" s="3" t="s">
        <v>0</v>
      </c>
      <c r="E649" s="2" t="str">
        <f>"PR2400018D"</f>
        <v>PR2400018D</v>
      </c>
      <c r="F649" s="5">
        <v>44675</v>
      </c>
      <c r="G649" s="5">
        <v>54789</v>
      </c>
      <c r="H649" s="4" t="str">
        <f>""</f>
        <v/>
      </c>
      <c r="I649" s="4" t="str">
        <f>""</f>
        <v/>
      </c>
    </row>
    <row r="650" spans="1:9" x14ac:dyDescent="0.3">
      <c r="A650" s="1" t="str">
        <f>"24"</f>
        <v>24</v>
      </c>
      <c r="B650" s="4" t="str">
        <f>"SARL ARTASO"</f>
        <v>SARL ARTASO</v>
      </c>
      <c r="C650" s="4">
        <v>391085644</v>
      </c>
      <c r="D650" s="3" t="s">
        <v>0</v>
      </c>
      <c r="E650" s="2" t="str">
        <f>"0005208611"</f>
        <v>0005208611</v>
      </c>
      <c r="F650" s="5">
        <v>44675</v>
      </c>
      <c r="G650" s="5">
        <v>54789</v>
      </c>
      <c r="H650" s="4" t="str">
        <f>""</f>
        <v/>
      </c>
      <c r="I650" s="4" t="str">
        <f>""</f>
        <v/>
      </c>
    </row>
    <row r="651" spans="1:9" x14ac:dyDescent="0.3">
      <c r="A651" s="1" t="str">
        <f>"24"</f>
        <v>24</v>
      </c>
      <c r="B651" s="4" t="str">
        <f>"BALDO RECUPERATION"</f>
        <v>BALDO RECUPERATION</v>
      </c>
      <c r="C651" s="4">
        <v>393245428</v>
      </c>
      <c r="D651" s="3" t="s">
        <v>0</v>
      </c>
      <c r="E651" s="2" t="str">
        <f>"PR2400019D"</f>
        <v>PR2400019D</v>
      </c>
      <c r="F651" s="5">
        <v>44568</v>
      </c>
      <c r="G651" s="5">
        <v>54789</v>
      </c>
      <c r="H651" s="4" t="str">
        <f>""</f>
        <v/>
      </c>
      <c r="I651" s="4" t="str">
        <f>""</f>
        <v/>
      </c>
    </row>
    <row r="652" spans="1:9" x14ac:dyDescent="0.3">
      <c r="A652" s="1" t="str">
        <f>"24"</f>
        <v>24</v>
      </c>
      <c r="B652" s="4" t="str">
        <f>"BALDO RECUPERATION"</f>
        <v>BALDO RECUPERATION</v>
      </c>
      <c r="C652" s="4">
        <v>393245428</v>
      </c>
      <c r="D652" s="3" t="s">
        <v>0</v>
      </c>
      <c r="E652" s="2" t="str">
        <f>"0005200082"</f>
        <v>0005200082</v>
      </c>
      <c r="F652" s="5">
        <v>44568</v>
      </c>
      <c r="G652" s="5">
        <v>54789</v>
      </c>
      <c r="H652" s="4" t="str">
        <f>""</f>
        <v/>
      </c>
      <c r="I652" s="4" t="str">
        <f>""</f>
        <v/>
      </c>
    </row>
    <row r="653" spans="1:9" x14ac:dyDescent="0.3">
      <c r="A653" s="1" t="str">
        <f>"24"</f>
        <v>24</v>
      </c>
      <c r="B653" s="4" t="str">
        <f>"SOCIETE SIRMET"</f>
        <v>SOCIETE SIRMET</v>
      </c>
      <c r="C653" s="4">
        <v>432383321</v>
      </c>
      <c r="D653" s="3" t="s">
        <v>0</v>
      </c>
      <c r="E653" s="2" t="str">
        <f>"PR2400022D"</f>
        <v>PR2400022D</v>
      </c>
      <c r="F653" s="5">
        <v>44321</v>
      </c>
      <c r="G653" s="5">
        <v>54789</v>
      </c>
      <c r="H653" s="4" t="str">
        <f>""</f>
        <v/>
      </c>
      <c r="I653" s="4" t="str">
        <f>""</f>
        <v/>
      </c>
    </row>
    <row r="654" spans="1:9" x14ac:dyDescent="0.3">
      <c r="A654" s="1" t="str">
        <f>"24"</f>
        <v>24</v>
      </c>
      <c r="B654" s="4" t="str">
        <f>"SOCIETE SIRMET"</f>
        <v>SOCIETE SIRMET</v>
      </c>
      <c r="C654" s="4">
        <v>432383321</v>
      </c>
      <c r="D654" s="3" t="s">
        <v>0</v>
      </c>
      <c r="E654" s="2" t="str">
        <f>"0005208807"</f>
        <v>0005208807</v>
      </c>
      <c r="F654" s="5">
        <v>44321</v>
      </c>
      <c r="G654" s="5">
        <v>54789</v>
      </c>
      <c r="H654" s="4" t="str">
        <f>""</f>
        <v/>
      </c>
      <c r="I654" s="4" t="str">
        <f>""</f>
        <v/>
      </c>
    </row>
    <row r="655" spans="1:9" x14ac:dyDescent="0.3">
      <c r="A655" s="1" t="str">
        <f>"24"</f>
        <v>24</v>
      </c>
      <c r="B655" s="4" t="str">
        <f>"SOCIETE SIRMET"</f>
        <v>SOCIETE SIRMET</v>
      </c>
      <c r="C655" s="4">
        <v>432383321</v>
      </c>
      <c r="D655" s="3" t="s">
        <v>0</v>
      </c>
      <c r="E655" s="2" t="str">
        <f>"PR2400011D"</f>
        <v>PR2400011D</v>
      </c>
      <c r="F655" s="5">
        <v>44019</v>
      </c>
      <c r="G655" s="5">
        <v>54789</v>
      </c>
      <c r="H655" s="4" t="str">
        <f>""</f>
        <v/>
      </c>
      <c r="I655" s="4" t="str">
        <f>""</f>
        <v/>
      </c>
    </row>
    <row r="656" spans="1:9" x14ac:dyDescent="0.3">
      <c r="A656" s="1" t="str">
        <f>"24"</f>
        <v>24</v>
      </c>
      <c r="B656" s="4" t="str">
        <f>"SOCIETE SIRMET"</f>
        <v>SOCIETE SIRMET</v>
      </c>
      <c r="C656" s="4">
        <v>432383321</v>
      </c>
      <c r="D656" s="3" t="s">
        <v>0</v>
      </c>
      <c r="E656" s="2" t="str">
        <f>"PR2400011B"</f>
        <v>PR2400011B</v>
      </c>
      <c r="F656" s="5">
        <v>44019</v>
      </c>
      <c r="G656" s="5">
        <v>54789</v>
      </c>
      <c r="H656" s="4" t="str">
        <f>""</f>
        <v/>
      </c>
      <c r="I656" s="4" t="str">
        <f>""</f>
        <v/>
      </c>
    </row>
    <row r="657" spans="1:9" x14ac:dyDescent="0.3">
      <c r="A657" s="1" t="str">
        <f>"24"</f>
        <v>24</v>
      </c>
      <c r="B657" s="4" t="str">
        <f>"SOCIETE SIRMET"</f>
        <v>SOCIETE SIRMET</v>
      </c>
      <c r="C657" s="4">
        <v>432383321</v>
      </c>
      <c r="D657" s="3" t="s">
        <v>0</v>
      </c>
      <c r="E657" s="2" t="str">
        <f>"0005205384"</f>
        <v>0005205384</v>
      </c>
      <c r="F657" s="5">
        <v>44019</v>
      </c>
      <c r="G657" s="5">
        <v>54789</v>
      </c>
      <c r="H657" s="4" t="str">
        <f>""</f>
        <v/>
      </c>
      <c r="I657" s="4" t="str">
        <f>""</f>
        <v/>
      </c>
    </row>
    <row r="658" spans="1:9" x14ac:dyDescent="0.3">
      <c r="A658" s="1" t="str">
        <f>"24"</f>
        <v>24</v>
      </c>
      <c r="B658" s="4" t="str">
        <f>"RAMEAU ET FILS"</f>
        <v>RAMEAU ET FILS</v>
      </c>
      <c r="C658" s="4">
        <v>440702611</v>
      </c>
      <c r="D658" s="3" t="s">
        <v>0</v>
      </c>
      <c r="E658" s="2" t="str">
        <f>"PR2400002D"</f>
        <v>PR2400002D</v>
      </c>
      <c r="F658" s="5">
        <v>44200</v>
      </c>
      <c r="G658" s="5">
        <v>54789</v>
      </c>
      <c r="H658" s="4" t="str">
        <f>""</f>
        <v/>
      </c>
      <c r="I658" s="4" t="str">
        <f>""</f>
        <v/>
      </c>
    </row>
    <row r="659" spans="1:9" x14ac:dyDescent="0.3">
      <c r="A659" s="1" t="str">
        <f>"24"</f>
        <v>24</v>
      </c>
      <c r="B659" s="4" t="str">
        <f>"RAMEAU ET FILS"</f>
        <v>RAMEAU ET FILS</v>
      </c>
      <c r="C659" s="4">
        <v>440702611</v>
      </c>
      <c r="D659" s="3" t="s">
        <v>0</v>
      </c>
      <c r="E659" s="2" t="str">
        <f>"0005208312"</f>
        <v>0005208312</v>
      </c>
      <c r="F659" s="5">
        <v>44200</v>
      </c>
      <c r="G659" s="5">
        <v>54789</v>
      </c>
      <c r="H659" s="4" t="str">
        <f>""</f>
        <v/>
      </c>
      <c r="I659" s="4" t="str">
        <f>""</f>
        <v/>
      </c>
    </row>
    <row r="660" spans="1:9" x14ac:dyDescent="0.3">
      <c r="A660" s="1" t="str">
        <f>"24"</f>
        <v>24</v>
      </c>
      <c r="B660" s="4" t="str">
        <f>"COUTRAS CASSE AUTO"</f>
        <v>COUTRAS CASSE AUTO</v>
      </c>
      <c r="C660" s="4">
        <v>443782800</v>
      </c>
      <c r="D660" s="3" t="s">
        <v>0</v>
      </c>
      <c r="E660" s="2" t="str">
        <f>"PR2400016D"</f>
        <v>PR2400016D</v>
      </c>
      <c r="F660" s="5">
        <v>45385</v>
      </c>
      <c r="G660" s="5">
        <v>54789</v>
      </c>
      <c r="H660" s="4" t="str">
        <f>""</f>
        <v/>
      </c>
      <c r="I660" s="4" t="str">
        <f>""</f>
        <v/>
      </c>
    </row>
    <row r="661" spans="1:9" x14ac:dyDescent="0.3">
      <c r="A661" s="1" t="str">
        <f>"24"</f>
        <v>24</v>
      </c>
      <c r="B661" s="4" t="str">
        <f>"COUTRAS CASSE AUTO"</f>
        <v>COUTRAS CASSE AUTO</v>
      </c>
      <c r="C661" s="4">
        <v>443782800</v>
      </c>
      <c r="D661" s="3" t="s">
        <v>0</v>
      </c>
      <c r="E661" s="2" t="str">
        <f>"0005205529"</f>
        <v>0005205529</v>
      </c>
      <c r="F661" s="5">
        <v>45385</v>
      </c>
      <c r="G661" s="5">
        <v>54789</v>
      </c>
      <c r="H661" s="4" t="str">
        <f>""</f>
        <v/>
      </c>
      <c r="I661" s="4" t="str">
        <f>""</f>
        <v/>
      </c>
    </row>
    <row r="662" spans="1:9" x14ac:dyDescent="0.3">
      <c r="A662" s="1" t="str">
        <f>"24"</f>
        <v>24</v>
      </c>
      <c r="B662" s="4" t="str">
        <f>"SARL FLASH AUTO VINGT QUATRE"</f>
        <v>SARL FLASH AUTO VINGT QUATRE</v>
      </c>
      <c r="C662" s="4">
        <v>503847386</v>
      </c>
      <c r="D662" s="3" t="s">
        <v>0</v>
      </c>
      <c r="E662" s="2" t="str">
        <f>"PR2400020D"</f>
        <v>PR2400020D</v>
      </c>
      <c r="F662" s="5">
        <v>44019</v>
      </c>
      <c r="G662" s="5">
        <v>54789</v>
      </c>
      <c r="H662" s="4" t="str">
        <f>""</f>
        <v/>
      </c>
      <c r="I662" s="4" t="str">
        <f>""</f>
        <v/>
      </c>
    </row>
    <row r="663" spans="1:9" x14ac:dyDescent="0.3">
      <c r="A663" s="1" t="str">
        <f>"24"</f>
        <v>24</v>
      </c>
      <c r="B663" s="4" t="str">
        <f>"SARL FLASH AUTO VINGT QUATRE"</f>
        <v>SARL FLASH AUTO VINGT QUATRE</v>
      </c>
      <c r="C663" s="4">
        <v>503847386</v>
      </c>
      <c r="D663" s="3" t="s">
        <v>0</v>
      </c>
      <c r="E663" s="2" t="str">
        <f>"0005208272"</f>
        <v>0005208272</v>
      </c>
      <c r="F663" s="5">
        <v>44019</v>
      </c>
      <c r="G663" s="5">
        <v>54789</v>
      </c>
      <c r="H663" s="4" t="str">
        <f>""</f>
        <v/>
      </c>
      <c r="I663" s="4" t="str">
        <f>""</f>
        <v/>
      </c>
    </row>
    <row r="664" spans="1:9" x14ac:dyDescent="0.3">
      <c r="A664" s="1" t="str">
        <f>"24"</f>
        <v>24</v>
      </c>
      <c r="B664" s="4" t="str">
        <f>"OCCA'Z AUTOS PIECES"</f>
        <v>OCCA'Z AUTOS PIECES</v>
      </c>
      <c r="C664" s="4">
        <v>517756649</v>
      </c>
      <c r="D664" s="3" t="s">
        <v>0</v>
      </c>
      <c r="E664" s="2" t="str">
        <f>"PR24000012D"</f>
        <v>PR24000012D</v>
      </c>
      <c r="F664" s="5">
        <v>44491</v>
      </c>
      <c r="G664" s="5">
        <v>54789</v>
      </c>
      <c r="H664" s="4" t="str">
        <f>"BOOM"</f>
        <v>BOOM</v>
      </c>
      <c r="I664" s="4" t="str">
        <f>"Nathalie"</f>
        <v>Nathalie</v>
      </c>
    </row>
    <row r="665" spans="1:9" x14ac:dyDescent="0.3">
      <c r="A665" s="1" t="str">
        <f>"24"</f>
        <v>24</v>
      </c>
      <c r="B665" s="4" t="str">
        <f>"OCCA'Z AUTOS PIECES"</f>
        <v>OCCA'Z AUTOS PIECES</v>
      </c>
      <c r="C665" s="4">
        <v>517756649</v>
      </c>
      <c r="D665" s="3" t="s">
        <v>0</v>
      </c>
      <c r="E665" s="2" t="str">
        <f>"0005200006"</f>
        <v>0005200006</v>
      </c>
      <c r="F665" s="5">
        <v>44491</v>
      </c>
      <c r="G665" s="5">
        <v>54789</v>
      </c>
      <c r="H665" s="4" t="str">
        <f>"BOOM"</f>
        <v>BOOM</v>
      </c>
      <c r="I665" s="4" t="str">
        <f>"Nathalie"</f>
        <v>Nathalie</v>
      </c>
    </row>
    <row r="666" spans="1:9" x14ac:dyDescent="0.3">
      <c r="A666" s="1" t="str">
        <f>"24"</f>
        <v>24</v>
      </c>
      <c r="B666" s="4" t="str">
        <f>"CASSE DELAGE"</f>
        <v>CASSE DELAGE</v>
      </c>
      <c r="C666" s="4">
        <v>789525698</v>
      </c>
      <c r="D666" s="3" t="s">
        <v>0</v>
      </c>
      <c r="E666" s="2" t="str">
        <f>"PR2400014D"</f>
        <v>PR2400014D</v>
      </c>
      <c r="F666" s="5">
        <v>45896</v>
      </c>
      <c r="G666" s="5">
        <v>54789</v>
      </c>
      <c r="H666" s="4" t="str">
        <f>"DELAGE"</f>
        <v>DELAGE</v>
      </c>
      <c r="I666" s="4" t="str">
        <f>"Philippe"</f>
        <v>Philippe</v>
      </c>
    </row>
    <row r="667" spans="1:9" x14ac:dyDescent="0.3">
      <c r="A667" s="1" t="str">
        <f>"24"</f>
        <v>24</v>
      </c>
      <c r="B667" s="4" t="str">
        <f>"CASSE DELAGE"</f>
        <v>CASSE DELAGE</v>
      </c>
      <c r="C667" s="4">
        <v>789525698</v>
      </c>
      <c r="D667" s="3" t="s">
        <v>0</v>
      </c>
      <c r="E667" s="2" t="str">
        <f>"0005200215"</f>
        <v>0005200215</v>
      </c>
      <c r="F667" s="5">
        <v>45896</v>
      </c>
      <c r="G667" s="5">
        <v>54789</v>
      </c>
      <c r="H667" s="4" t="str">
        <f>"DELAGE"</f>
        <v>DELAGE</v>
      </c>
      <c r="I667" s="4" t="str">
        <f>"Philippe"</f>
        <v>Philippe</v>
      </c>
    </row>
    <row r="668" spans="1:9" x14ac:dyDescent="0.3">
      <c r="A668" s="1" t="str">
        <f>"24"</f>
        <v>24</v>
      </c>
      <c r="B668" s="4" t="str">
        <f>"DECONS AQUITAINE SAS"</f>
        <v>DECONS AQUITAINE SAS</v>
      </c>
      <c r="C668" s="4">
        <v>832222467</v>
      </c>
      <c r="D668" s="3" t="s">
        <v>0</v>
      </c>
      <c r="E668" s="2" t="str">
        <f>"PR2400008D"</f>
        <v>PR2400008D</v>
      </c>
      <c r="F668" s="5">
        <v>45889</v>
      </c>
      <c r="G668" s="5">
        <v>54789</v>
      </c>
      <c r="H668" s="4" t="str">
        <f>""</f>
        <v/>
      </c>
      <c r="I668" s="4" t="str">
        <f>""</f>
        <v/>
      </c>
    </row>
    <row r="669" spans="1:9" x14ac:dyDescent="0.3">
      <c r="A669" s="1" t="str">
        <f>"24"</f>
        <v>24</v>
      </c>
      <c r="B669" s="4" t="str">
        <f>"DECONS AQUITAINE SAS"</f>
        <v>DECONS AQUITAINE SAS</v>
      </c>
      <c r="C669" s="4">
        <v>832222467</v>
      </c>
      <c r="D669" s="3" t="s">
        <v>0</v>
      </c>
      <c r="E669" s="2" t="str">
        <f>"0005208311"</f>
        <v>0005208311</v>
      </c>
      <c r="F669" s="5">
        <v>45889</v>
      </c>
      <c r="G669" s="5">
        <v>54789</v>
      </c>
      <c r="H669" s="4" t="str">
        <f>""</f>
        <v/>
      </c>
      <c r="I669" s="4" t="str">
        <f>""</f>
        <v/>
      </c>
    </row>
    <row r="670" spans="1:9" x14ac:dyDescent="0.3">
      <c r="A670" s="1" t="str">
        <f>"25"</f>
        <v>25</v>
      </c>
      <c r="B670" s="4" t="str">
        <f>"PRO PIECES"</f>
        <v>PRO PIECES</v>
      </c>
      <c r="C670" s="4">
        <v>311975015</v>
      </c>
      <c r="D670" s="3" t="s">
        <v>0</v>
      </c>
      <c r="E670" s="2" t="str">
        <f>"PR2500001D"</f>
        <v>PR2500001D</v>
      </c>
      <c r="F670" s="5">
        <v>43265</v>
      </c>
      <c r="G670" s="5">
        <v>54789</v>
      </c>
      <c r="H670" s="4" t="str">
        <f>""</f>
        <v/>
      </c>
      <c r="I670" s="4" t="str">
        <f>""</f>
        <v/>
      </c>
    </row>
    <row r="671" spans="1:9" x14ac:dyDescent="0.3">
      <c r="A671" s="1" t="str">
        <f>"25"</f>
        <v>25</v>
      </c>
      <c r="B671" s="4" t="str">
        <f>"PRO PIECES"</f>
        <v>PRO PIECES</v>
      </c>
      <c r="C671" s="4">
        <v>311975015</v>
      </c>
      <c r="D671" s="3" t="s">
        <v>0</v>
      </c>
      <c r="E671" s="2" t="str">
        <f>"0005900152"</f>
        <v>0005900152</v>
      </c>
      <c r="F671" s="5">
        <v>43265</v>
      </c>
      <c r="G671" s="5">
        <v>54789</v>
      </c>
      <c r="H671" s="4" t="str">
        <f>""</f>
        <v/>
      </c>
      <c r="I671" s="4" t="str">
        <f>""</f>
        <v/>
      </c>
    </row>
    <row r="672" spans="1:9" x14ac:dyDescent="0.3">
      <c r="A672" s="1" t="str">
        <f>"25"</f>
        <v>25</v>
      </c>
      <c r="B672" s="4" t="str">
        <f>"DEPANNAGE 25"</f>
        <v>DEPANNAGE 25</v>
      </c>
      <c r="C672" s="4">
        <v>349162008</v>
      </c>
      <c r="D672" s="3" t="s">
        <v>0</v>
      </c>
      <c r="E672" s="2" t="str">
        <f>"PR25000008D"</f>
        <v>PR25000008D</v>
      </c>
      <c r="F672" s="5">
        <v>39521</v>
      </c>
      <c r="G672" s="5">
        <v>54789</v>
      </c>
      <c r="H672" s="4" t="str">
        <f>""</f>
        <v/>
      </c>
      <c r="I672" s="4" t="str">
        <f>""</f>
        <v/>
      </c>
    </row>
    <row r="673" spans="1:9" x14ac:dyDescent="0.3">
      <c r="A673" s="1" t="str">
        <f>"25"</f>
        <v>25</v>
      </c>
      <c r="B673" s="4" t="str">
        <f>"DEPANNAGE 25"</f>
        <v>DEPANNAGE 25</v>
      </c>
      <c r="C673" s="4">
        <v>349162008</v>
      </c>
      <c r="D673" s="3" t="s">
        <v>0</v>
      </c>
      <c r="E673" s="2" t="str">
        <f>"0012800176"</f>
        <v>0012800176</v>
      </c>
      <c r="F673" s="5">
        <v>39521</v>
      </c>
      <c r="G673" s="5">
        <v>54789</v>
      </c>
      <c r="H673" s="4" t="str">
        <f>""</f>
        <v/>
      </c>
      <c r="I673" s="4" t="str">
        <f>""</f>
        <v/>
      </c>
    </row>
    <row r="674" spans="1:9" x14ac:dyDescent="0.3">
      <c r="A674" s="1" t="str">
        <f>"25"</f>
        <v>25</v>
      </c>
      <c r="B674" s="4" t="str">
        <f>"NOVU 24 - THOMAS Y"</f>
        <v>NOVU 24 - THOMAS Y</v>
      </c>
      <c r="C674" s="4">
        <v>378421739</v>
      </c>
      <c r="D674" s="3" t="s">
        <v>0</v>
      </c>
      <c r="E674" s="2" t="str">
        <f>"0005200009"</f>
        <v>0005200009</v>
      </c>
      <c r="F674" s="5">
        <v>44491</v>
      </c>
      <c r="G674" s="5">
        <v>54789</v>
      </c>
      <c r="H674" s="4" t="str">
        <f>""</f>
        <v/>
      </c>
      <c r="I674" s="4" t="str">
        <f>""</f>
        <v/>
      </c>
    </row>
    <row r="675" spans="1:9" x14ac:dyDescent="0.3">
      <c r="A675" s="1" t="str">
        <f>"25"</f>
        <v>25</v>
      </c>
      <c r="B675" s="4" t="str">
        <f>"NOVU 24 - THOMAS Y"</f>
        <v>NOVU 24 - THOMAS Y</v>
      </c>
      <c r="C675" s="4">
        <v>378421739</v>
      </c>
      <c r="D675" s="3" t="s">
        <v>0</v>
      </c>
      <c r="E675" s="2" t="str">
        <f>"0005200009"</f>
        <v>0005200009</v>
      </c>
      <c r="F675" s="5">
        <v>44491</v>
      </c>
      <c r="G675" s="5">
        <v>54789</v>
      </c>
      <c r="H675" s="4" t="str">
        <f>""</f>
        <v/>
      </c>
      <c r="I675" s="4" t="str">
        <f>""</f>
        <v/>
      </c>
    </row>
    <row r="676" spans="1:9" x14ac:dyDescent="0.3">
      <c r="A676" s="1" t="str">
        <f>"25"</f>
        <v>25</v>
      </c>
      <c r="B676" s="4" t="str">
        <f>"NOVU 24 - THOMAS Y"</f>
        <v>NOVU 24 - THOMAS Y</v>
      </c>
      <c r="C676" s="4">
        <v>378421739</v>
      </c>
      <c r="D676" s="3" t="s">
        <v>0</v>
      </c>
      <c r="E676" s="2" t="str">
        <f>"0005200009"</f>
        <v>0005200009</v>
      </c>
      <c r="F676" s="5">
        <v>44491</v>
      </c>
      <c r="G676" s="5">
        <v>54789</v>
      </c>
      <c r="H676" s="4" t="str">
        <f>""</f>
        <v/>
      </c>
      <c r="I676" s="4" t="str">
        <f>""</f>
        <v/>
      </c>
    </row>
    <row r="677" spans="1:9" x14ac:dyDescent="0.3">
      <c r="A677" s="1" t="str">
        <f>"25"</f>
        <v>25</v>
      </c>
      <c r="B677" s="4" t="str">
        <f>"MASSACRIER"</f>
        <v>MASSACRIER</v>
      </c>
      <c r="C677" s="4">
        <v>387813538</v>
      </c>
      <c r="D677" s="3" t="s">
        <v>0</v>
      </c>
      <c r="E677" s="2" t="str">
        <f>"PR25000015D"</f>
        <v>PR25000015D</v>
      </c>
      <c r="F677" s="5">
        <v>42109</v>
      </c>
      <c r="G677" s="5">
        <v>54789</v>
      </c>
      <c r="H677" s="4" t="str">
        <f>""</f>
        <v/>
      </c>
      <c r="I677" s="4" t="str">
        <f>""</f>
        <v/>
      </c>
    </row>
    <row r="678" spans="1:9" x14ac:dyDescent="0.3">
      <c r="A678" s="1" t="str">
        <f>"25"</f>
        <v>25</v>
      </c>
      <c r="B678" s="4" t="str">
        <f>"MASSACRIER"</f>
        <v>MASSACRIER</v>
      </c>
      <c r="C678" s="4">
        <v>387813538</v>
      </c>
      <c r="D678" s="3" t="s">
        <v>0</v>
      </c>
      <c r="E678" s="2" t="str">
        <f>"0005902886"</f>
        <v>0005902886</v>
      </c>
      <c r="F678" s="5">
        <v>42109</v>
      </c>
      <c r="G678" s="5">
        <v>54789</v>
      </c>
      <c r="H678" s="4" t="str">
        <f>""</f>
        <v/>
      </c>
      <c r="I678" s="4" t="str">
        <f>""</f>
        <v/>
      </c>
    </row>
    <row r="679" spans="1:9" x14ac:dyDescent="0.3">
      <c r="A679" s="1" t="str">
        <f>"25"</f>
        <v>25</v>
      </c>
      <c r="B679" s="4" t="str">
        <f>"CAPO"</f>
        <v>CAPO</v>
      </c>
      <c r="C679" s="4">
        <v>389068933</v>
      </c>
      <c r="D679" s="3" t="s">
        <v>0</v>
      </c>
      <c r="E679" s="2" t="str">
        <f>"PR2500002D"</f>
        <v>PR2500002D</v>
      </c>
      <c r="F679" s="5">
        <v>38854</v>
      </c>
      <c r="G679" s="5">
        <v>54789</v>
      </c>
      <c r="H679" s="4" t="str">
        <f>""</f>
        <v/>
      </c>
      <c r="I679" s="4" t="str">
        <f>""</f>
        <v/>
      </c>
    </row>
    <row r="680" spans="1:9" x14ac:dyDescent="0.3">
      <c r="A680" s="1" t="str">
        <f>"25"</f>
        <v>25</v>
      </c>
      <c r="B680" s="4" t="str">
        <f>"CAPO"</f>
        <v>CAPO</v>
      </c>
      <c r="C680" s="4">
        <v>389068933</v>
      </c>
      <c r="D680" s="3" t="s">
        <v>0</v>
      </c>
      <c r="E680" s="2" t="str">
        <f>"0005900521"</f>
        <v>0005900521</v>
      </c>
      <c r="F680" s="5">
        <v>38854</v>
      </c>
      <c r="G680" s="5">
        <v>54789</v>
      </c>
      <c r="H680" s="4" t="str">
        <f>""</f>
        <v/>
      </c>
      <c r="I680" s="4" t="str">
        <f>""</f>
        <v/>
      </c>
    </row>
    <row r="681" spans="1:9" x14ac:dyDescent="0.3">
      <c r="A681" s="1" t="str">
        <f>"25"</f>
        <v>25</v>
      </c>
      <c r="B681" s="4" t="str">
        <f>"DEMAUTO"</f>
        <v>DEMAUTO</v>
      </c>
      <c r="C681" s="4">
        <v>409205523</v>
      </c>
      <c r="D681" s="3" t="s">
        <v>0</v>
      </c>
      <c r="E681" s="2" t="str">
        <f>"PR25000018D"</f>
        <v>PR25000018D</v>
      </c>
      <c r="F681" s="5">
        <v>42772</v>
      </c>
      <c r="G681" s="5">
        <v>54789</v>
      </c>
      <c r="H681" s="4" t="str">
        <f>""</f>
        <v/>
      </c>
      <c r="I681" s="4" t="str">
        <f>""</f>
        <v/>
      </c>
    </row>
    <row r="682" spans="1:9" x14ac:dyDescent="0.3">
      <c r="A682" s="1" t="str">
        <f>"25"</f>
        <v>25</v>
      </c>
      <c r="B682" s="4" t="str">
        <f>"DEMAUTO"</f>
        <v>DEMAUTO</v>
      </c>
      <c r="C682" s="4">
        <v>409205523</v>
      </c>
      <c r="D682" s="3" t="s">
        <v>0</v>
      </c>
      <c r="E682" s="2" t="str">
        <f>"0003300470"</f>
        <v>0003300470</v>
      </c>
      <c r="F682" s="5">
        <v>42772</v>
      </c>
      <c r="G682" s="5">
        <v>54789</v>
      </c>
      <c r="H682" s="4" t="str">
        <f>""</f>
        <v/>
      </c>
      <c r="I682" s="4" t="str">
        <f>""</f>
        <v/>
      </c>
    </row>
    <row r="683" spans="1:9" x14ac:dyDescent="0.3">
      <c r="A683" s="1" t="str">
        <f>"25"</f>
        <v>25</v>
      </c>
      <c r="B683" s="4" t="str">
        <f>"AUTO CASSE 21"</f>
        <v>AUTO CASSE 21</v>
      </c>
      <c r="C683" s="4">
        <v>429150501</v>
      </c>
      <c r="D683" s="3" t="s">
        <v>0</v>
      </c>
      <c r="E683" s="2" t="str">
        <f>"PR25000011D"</f>
        <v>PR25000011D</v>
      </c>
      <c r="F683" s="5">
        <v>43935</v>
      </c>
      <c r="G683" s="5">
        <v>54789</v>
      </c>
      <c r="H683" s="4" t="str">
        <f>""</f>
        <v/>
      </c>
      <c r="I683" s="4" t="str">
        <f>""</f>
        <v/>
      </c>
    </row>
    <row r="684" spans="1:9" x14ac:dyDescent="0.3">
      <c r="A684" s="1" t="str">
        <f>"25"</f>
        <v>25</v>
      </c>
      <c r="B684" s="4" t="str">
        <f>"SONNET RECYCLAGE AUTO"</f>
        <v>SONNET RECYCLAGE AUTO</v>
      </c>
      <c r="C684" s="4">
        <v>483976999</v>
      </c>
      <c r="D684" s="3" t="s">
        <v>0</v>
      </c>
      <c r="E684" s="2" t="str">
        <f>"PR2500004D"</f>
        <v>PR2500004D</v>
      </c>
      <c r="F684" s="5">
        <v>39585</v>
      </c>
      <c r="G684" s="5">
        <v>54789</v>
      </c>
      <c r="H684" s="4" t="str">
        <f>""</f>
        <v/>
      </c>
      <c r="I684" s="4" t="str">
        <f>""</f>
        <v/>
      </c>
    </row>
    <row r="685" spans="1:9" x14ac:dyDescent="0.3">
      <c r="A685" s="1" t="str">
        <f>"25"</f>
        <v>25</v>
      </c>
      <c r="B685" s="4" t="str">
        <f>"SONNET RECYCLAGE AUTO"</f>
        <v>SONNET RECYCLAGE AUTO</v>
      </c>
      <c r="C685" s="4">
        <v>483976999</v>
      </c>
      <c r="D685" s="3" t="s">
        <v>0</v>
      </c>
      <c r="E685" s="2" t="str">
        <f>"0005900625"</f>
        <v>0005900625</v>
      </c>
      <c r="F685" s="5">
        <v>39585</v>
      </c>
      <c r="G685" s="5">
        <v>54789</v>
      </c>
      <c r="H685" s="4" t="str">
        <f>""</f>
        <v/>
      </c>
      <c r="I685" s="4" t="str">
        <f>""</f>
        <v/>
      </c>
    </row>
    <row r="686" spans="1:9" x14ac:dyDescent="0.3">
      <c r="A686" s="1" t="str">
        <f>"25"</f>
        <v>25</v>
      </c>
      <c r="B686" s="4" t="str">
        <f>"AUTO CASSE 25"</f>
        <v>AUTO CASSE 25</v>
      </c>
      <c r="C686" s="4">
        <v>493082416</v>
      </c>
      <c r="D686" s="3" t="s">
        <v>0</v>
      </c>
      <c r="E686" s="2" t="str">
        <f>"PR2500007D"</f>
        <v>PR2500007D</v>
      </c>
      <c r="F686" s="5">
        <v>43935</v>
      </c>
      <c r="G686" s="5">
        <v>54789</v>
      </c>
      <c r="H686" s="4" t="str">
        <f>""</f>
        <v/>
      </c>
      <c r="I686" s="4" t="str">
        <f>""</f>
        <v/>
      </c>
    </row>
    <row r="687" spans="1:9" x14ac:dyDescent="0.3">
      <c r="A687" s="1" t="str">
        <f>"25"</f>
        <v>25</v>
      </c>
      <c r="B687" s="4" t="str">
        <f>"AUTO CASSE 25"</f>
        <v>AUTO CASSE 25</v>
      </c>
      <c r="C687" s="4">
        <v>493082416</v>
      </c>
      <c r="D687" s="3" t="s">
        <v>0</v>
      </c>
      <c r="E687" s="2" t="str">
        <f>"0005900195"</f>
        <v>0005900195</v>
      </c>
      <c r="F687" s="5">
        <v>43935</v>
      </c>
      <c r="G687" s="5">
        <v>54789</v>
      </c>
      <c r="H687" s="4" t="str">
        <f>""</f>
        <v/>
      </c>
      <c r="I687" s="4" t="str">
        <f>""</f>
        <v/>
      </c>
    </row>
    <row r="688" spans="1:9" x14ac:dyDescent="0.3">
      <c r="A688" s="1" t="str">
        <f>"25"</f>
        <v>25</v>
      </c>
      <c r="B688" s="4" t="str">
        <f>"PETITJEAN"</f>
        <v>PETITJEAN</v>
      </c>
      <c r="C688" s="4">
        <v>503471401</v>
      </c>
      <c r="D688" s="3" t="s">
        <v>0</v>
      </c>
      <c r="E688" s="2" t="str">
        <f>"PR25000019D"</f>
        <v>PR25000019D</v>
      </c>
      <c r="F688" s="5">
        <v>43447</v>
      </c>
      <c r="G688" s="5">
        <v>54789</v>
      </c>
      <c r="H688" s="4" t="str">
        <f>""</f>
        <v/>
      </c>
      <c r="I688" s="4" t="str">
        <f>""</f>
        <v/>
      </c>
    </row>
    <row r="689" spans="1:9" x14ac:dyDescent="0.3">
      <c r="A689" s="1" t="str">
        <f>"25"</f>
        <v>25</v>
      </c>
      <c r="B689" s="4" t="str">
        <f>"PETITJEAN"</f>
        <v>PETITJEAN</v>
      </c>
      <c r="C689" s="4">
        <v>503471401</v>
      </c>
      <c r="D689" s="3" t="s">
        <v>0</v>
      </c>
      <c r="E689" s="2" t="str">
        <f>"0100022900"</f>
        <v>0100022900</v>
      </c>
      <c r="F689" s="5">
        <v>43447</v>
      </c>
      <c r="G689" s="5">
        <v>54789</v>
      </c>
      <c r="H689" s="4" t="str">
        <f>""</f>
        <v/>
      </c>
      <c r="I689" s="4" t="str">
        <f>""</f>
        <v/>
      </c>
    </row>
    <row r="690" spans="1:9" x14ac:dyDescent="0.3">
      <c r="A690" s="1" t="str">
        <f>"25"</f>
        <v>25</v>
      </c>
      <c r="B690" s="4" t="str">
        <f>"VARRIN MICKAEL VALENTIGNEY"</f>
        <v>VARRIN MICKAEL VALENTIGNEY</v>
      </c>
      <c r="C690" s="4">
        <v>522320134</v>
      </c>
      <c r="D690" s="3" t="s">
        <v>0</v>
      </c>
      <c r="E690" s="2" t="str">
        <f>"PR25000016D"</f>
        <v>PR25000016D</v>
      </c>
      <c r="F690" s="5">
        <v>42177</v>
      </c>
      <c r="G690" s="5">
        <v>54789</v>
      </c>
      <c r="H690" s="4" t="str">
        <f>""</f>
        <v/>
      </c>
      <c r="I690" s="4" t="str">
        <f>""</f>
        <v/>
      </c>
    </row>
    <row r="691" spans="1:9" x14ac:dyDescent="0.3">
      <c r="A691" s="1" t="str">
        <f>"25"</f>
        <v>25</v>
      </c>
      <c r="B691" s="4" t="str">
        <f>"VARRIN MICKAEL VALENTIGNEY"</f>
        <v>VARRIN MICKAEL VALENTIGNEY</v>
      </c>
      <c r="C691" s="4">
        <v>522320134</v>
      </c>
      <c r="D691" s="3" t="s">
        <v>0</v>
      </c>
      <c r="E691" s="2" t="str">
        <f>"0005906168"</f>
        <v>0005906168</v>
      </c>
      <c r="F691" s="5">
        <v>42177</v>
      </c>
      <c r="G691" s="5">
        <v>54789</v>
      </c>
      <c r="H691" s="4" t="str">
        <f>""</f>
        <v/>
      </c>
      <c r="I691" s="4" t="str">
        <f>""</f>
        <v/>
      </c>
    </row>
    <row r="692" spans="1:9" x14ac:dyDescent="0.3">
      <c r="A692" s="1" t="str">
        <f>"25"</f>
        <v>25</v>
      </c>
      <c r="B692" s="4" t="str">
        <f>"SV2A"</f>
        <v>SV2A</v>
      </c>
      <c r="C692" s="4">
        <v>533029583</v>
      </c>
      <c r="D692" s="3" t="s">
        <v>0</v>
      </c>
      <c r="E692" s="2" t="str">
        <f>"PR25000020D"</f>
        <v>PR25000020D</v>
      </c>
      <c r="F692" s="5">
        <v>43916</v>
      </c>
      <c r="G692" s="5">
        <v>54789</v>
      </c>
      <c r="H692" s="4" t="str">
        <f>""</f>
        <v/>
      </c>
      <c r="I692" s="4" t="str">
        <f>""</f>
        <v/>
      </c>
    </row>
    <row r="693" spans="1:9" x14ac:dyDescent="0.3">
      <c r="A693" s="1" t="str">
        <f>"25"</f>
        <v>25</v>
      </c>
      <c r="B693" s="4" t="str">
        <f>"SV2A"</f>
        <v>SV2A</v>
      </c>
      <c r="C693" s="4">
        <v>533029583</v>
      </c>
      <c r="D693" s="3" t="s">
        <v>0</v>
      </c>
      <c r="E693" s="2" t="str">
        <f>"0003302401"</f>
        <v>0003302401</v>
      </c>
      <c r="F693" s="5">
        <v>43916</v>
      </c>
      <c r="G693" s="5">
        <v>54789</v>
      </c>
      <c r="H693" s="4" t="str">
        <f>""</f>
        <v/>
      </c>
      <c r="I693" s="4" t="str">
        <f>""</f>
        <v/>
      </c>
    </row>
    <row r="694" spans="1:9" x14ac:dyDescent="0.3">
      <c r="A694" s="1" t="str">
        <f>"25"</f>
        <v>25</v>
      </c>
      <c r="B694" s="4" t="str">
        <f>"CFF RECYCLING ESKA"</f>
        <v>CFF RECYCLING ESKA</v>
      </c>
      <c r="C694" s="4">
        <v>558502811</v>
      </c>
      <c r="D694" s="3" t="s">
        <v>0</v>
      </c>
      <c r="E694" s="2" t="str">
        <f>"PR2500006D"</f>
        <v>PR2500006D</v>
      </c>
      <c r="F694" s="5">
        <v>38854</v>
      </c>
      <c r="G694" s="5">
        <v>54789</v>
      </c>
      <c r="H694" s="4" t="str">
        <f>""</f>
        <v/>
      </c>
      <c r="I694" s="4" t="str">
        <f>""</f>
        <v/>
      </c>
    </row>
    <row r="695" spans="1:9" x14ac:dyDescent="0.3">
      <c r="A695" s="1" t="str">
        <f>"25"</f>
        <v>25</v>
      </c>
      <c r="B695" s="4" t="str">
        <f>"CFF RECYCLING ESKA"</f>
        <v>CFF RECYCLING ESKA</v>
      </c>
      <c r="C695" s="4">
        <v>558502811</v>
      </c>
      <c r="D695" s="3" t="s">
        <v>0</v>
      </c>
      <c r="E695" s="2" t="str">
        <f>"PR2500006B"</f>
        <v>PR2500006B</v>
      </c>
      <c r="F695" s="5">
        <v>38854</v>
      </c>
      <c r="G695" s="5">
        <v>54789</v>
      </c>
      <c r="H695" s="4" t="str">
        <f>""</f>
        <v/>
      </c>
      <c r="I695" s="4" t="str">
        <f>""</f>
        <v/>
      </c>
    </row>
    <row r="696" spans="1:9" x14ac:dyDescent="0.3">
      <c r="A696" s="1" t="str">
        <f>"25"</f>
        <v>25</v>
      </c>
      <c r="B696" s="4" t="str">
        <f>"CFF RECYCLING ESKA"</f>
        <v>CFF RECYCLING ESKA</v>
      </c>
      <c r="C696" s="4">
        <v>558502811</v>
      </c>
      <c r="D696" s="3" t="s">
        <v>0</v>
      </c>
      <c r="E696" s="2" t="str">
        <f>"0005900305"</f>
        <v>0005900305</v>
      </c>
      <c r="F696" s="5">
        <v>38854</v>
      </c>
      <c r="G696" s="5">
        <v>54789</v>
      </c>
      <c r="H696" s="4" t="str">
        <f>""</f>
        <v/>
      </c>
      <c r="I696" s="4" t="str">
        <f>""</f>
        <v/>
      </c>
    </row>
    <row r="697" spans="1:9" x14ac:dyDescent="0.3">
      <c r="A697" s="1" t="str">
        <f>"25"</f>
        <v>25</v>
      </c>
      <c r="B697" s="4" t="str">
        <f>"EVN"</f>
        <v>EVN</v>
      </c>
      <c r="C697" s="4">
        <v>793971532</v>
      </c>
      <c r="D697" s="3" t="s">
        <v>0</v>
      </c>
      <c r="E697" s="2" t="str">
        <f>"PR25000017D"</f>
        <v>PR25000017D</v>
      </c>
      <c r="F697" s="5">
        <v>42516</v>
      </c>
      <c r="G697" s="5">
        <v>54789</v>
      </c>
      <c r="H697" s="4" t="str">
        <f>""</f>
        <v/>
      </c>
      <c r="I697" s="4" t="str">
        <f>""</f>
        <v/>
      </c>
    </row>
    <row r="698" spans="1:9" x14ac:dyDescent="0.3">
      <c r="A698" s="1" t="str">
        <f>"25"</f>
        <v>25</v>
      </c>
      <c r="B698" s="4" t="str">
        <f>"JEAN MOUGIN MATHAY"</f>
        <v>JEAN MOUGIN MATHAY</v>
      </c>
      <c r="C698" s="4">
        <v>844324574</v>
      </c>
      <c r="D698" s="3" t="s">
        <v>0</v>
      </c>
      <c r="E698" s="2" t="str">
        <f>"PR25000014D"</f>
        <v>PR25000014D</v>
      </c>
      <c r="F698" s="5">
        <v>44382</v>
      </c>
      <c r="G698" s="5">
        <v>54789</v>
      </c>
      <c r="H698" s="4" t="str">
        <f>""</f>
        <v/>
      </c>
      <c r="I698" s="4" t="str">
        <f>""</f>
        <v/>
      </c>
    </row>
    <row r="699" spans="1:9" x14ac:dyDescent="0.3">
      <c r="A699" s="1" t="str">
        <f>"25"</f>
        <v>25</v>
      </c>
      <c r="B699" s="4" t="str">
        <f>"JEAN MOUGIN MATHAY"</f>
        <v>JEAN MOUGIN MATHAY</v>
      </c>
      <c r="C699" s="4">
        <v>844324574</v>
      </c>
      <c r="D699" s="3" t="s">
        <v>0</v>
      </c>
      <c r="E699" s="2" t="str">
        <f>"0005904632"</f>
        <v>0005904632</v>
      </c>
      <c r="F699" s="5">
        <v>44382</v>
      </c>
      <c r="G699" s="5">
        <v>54789</v>
      </c>
      <c r="H699" s="4" t="str">
        <f>""</f>
        <v/>
      </c>
      <c r="I699" s="4" t="str">
        <f>""</f>
        <v/>
      </c>
    </row>
    <row r="700" spans="1:9" x14ac:dyDescent="0.3">
      <c r="A700" s="1" t="str">
        <f>"25"</f>
        <v>25</v>
      </c>
      <c r="B700" s="4" t="str">
        <f>"RECYCLAGE INDUSTRIEL BESANCON"</f>
        <v>RECYCLAGE INDUSTRIEL BESANCON</v>
      </c>
      <c r="C700" s="4">
        <v>849319223</v>
      </c>
      <c r="D700" s="3" t="s">
        <v>0</v>
      </c>
      <c r="E700" s="2" t="str">
        <f>"0003302505"</f>
        <v>0003302505</v>
      </c>
      <c r="F700" s="5">
        <v>44607</v>
      </c>
      <c r="G700" s="5">
        <v>54789</v>
      </c>
      <c r="H700" s="4" t="str">
        <f>""</f>
        <v/>
      </c>
      <c r="I700" s="4" t="str">
        <f>""</f>
        <v/>
      </c>
    </row>
    <row r="701" spans="1:9" x14ac:dyDescent="0.3">
      <c r="A701" s="1" t="str">
        <f>"25"</f>
        <v>25</v>
      </c>
      <c r="B701" s="4" t="str">
        <f>"RECYCLAGE INDUSTRIEL BESANCON"</f>
        <v>RECYCLAGE INDUSTRIEL BESANCON</v>
      </c>
      <c r="C701" s="4">
        <v>849319223</v>
      </c>
      <c r="D701" s="3" t="s">
        <v>0</v>
      </c>
      <c r="E701" s="2" t="str">
        <f>"PR25000021D"</f>
        <v>PR25000021D</v>
      </c>
      <c r="F701" s="5">
        <v>44607</v>
      </c>
      <c r="G701" s="5">
        <v>54789</v>
      </c>
      <c r="H701" s="4" t="str">
        <f>""</f>
        <v/>
      </c>
      <c r="I701" s="4" t="str">
        <f>""</f>
        <v/>
      </c>
    </row>
    <row r="702" spans="1:9" x14ac:dyDescent="0.3">
      <c r="A702" s="1" t="str">
        <f>"26"</f>
        <v>26</v>
      </c>
      <c r="B702" s="4" t="str">
        <f>"POIDS LOURDS INDUSTIRES"</f>
        <v>POIDS LOURDS INDUSTIRES</v>
      </c>
      <c r="C702" s="4">
        <v>306368192</v>
      </c>
      <c r="D702" s="3" t="s">
        <v>0</v>
      </c>
      <c r="E702" s="2" t="str">
        <f>"PR260028D"</f>
        <v>PR260028D</v>
      </c>
      <c r="F702" s="5">
        <v>45090</v>
      </c>
      <c r="G702" s="5">
        <v>54789</v>
      </c>
      <c r="H702" s="4" t="str">
        <f>""</f>
        <v/>
      </c>
      <c r="I702" s="4" t="str">
        <f>""</f>
        <v/>
      </c>
    </row>
    <row r="703" spans="1:9" x14ac:dyDescent="0.3">
      <c r="A703" s="1" t="str">
        <f>"26"</f>
        <v>26</v>
      </c>
      <c r="B703" s="4" t="str">
        <f>"POIDS LOURDS INDUSTIRES"</f>
        <v>POIDS LOURDS INDUSTIRES</v>
      </c>
      <c r="C703" s="4">
        <v>306368192</v>
      </c>
      <c r="D703" s="3" t="s">
        <v>0</v>
      </c>
      <c r="E703" s="2" t="str">
        <f>"0010300277"</f>
        <v>0010300277</v>
      </c>
      <c r="F703" s="5">
        <v>45090</v>
      </c>
      <c r="G703" s="5">
        <v>54789</v>
      </c>
      <c r="H703" s="4" t="str">
        <f>""</f>
        <v/>
      </c>
      <c r="I703" s="4" t="str">
        <f>""</f>
        <v/>
      </c>
    </row>
    <row r="704" spans="1:9" x14ac:dyDescent="0.3">
      <c r="A704" s="1" t="str">
        <f>"26"</f>
        <v>26</v>
      </c>
      <c r="B704" s="4" t="str">
        <f>"NEGOMETAL"</f>
        <v>NEGOMETAL</v>
      </c>
      <c r="C704" s="4">
        <v>313484339</v>
      </c>
      <c r="D704" s="3" t="s">
        <v>0</v>
      </c>
      <c r="E704" s="2" t="str">
        <f>"0006102510"</f>
        <v>0006102510</v>
      </c>
      <c r="F704" s="5">
        <v>43294</v>
      </c>
      <c r="G704" s="5">
        <v>54789</v>
      </c>
      <c r="H704" s="4" t="str">
        <f>""</f>
        <v/>
      </c>
      <c r="I704" s="4" t="str">
        <f>""</f>
        <v/>
      </c>
    </row>
    <row r="705" spans="1:9" x14ac:dyDescent="0.3">
      <c r="A705" s="1" t="str">
        <f>"26"</f>
        <v>26</v>
      </c>
      <c r="B705" s="4" t="str">
        <f>"NEGOMETAL"</f>
        <v>NEGOMETAL</v>
      </c>
      <c r="C705" s="4">
        <v>313484339</v>
      </c>
      <c r="D705" s="3" t="s">
        <v>0</v>
      </c>
      <c r="E705" s="2" t="str">
        <f>"PR260005D"</f>
        <v>PR260005D</v>
      </c>
      <c r="F705" s="5">
        <v>43312</v>
      </c>
      <c r="G705" s="5">
        <v>54789</v>
      </c>
      <c r="H705" s="4" t="str">
        <f>""</f>
        <v/>
      </c>
      <c r="I705" s="4" t="str">
        <f>""</f>
        <v/>
      </c>
    </row>
    <row r="706" spans="1:9" x14ac:dyDescent="0.3">
      <c r="A706" s="1" t="str">
        <f>"26"</f>
        <v>26</v>
      </c>
      <c r="B706" s="4" t="str">
        <f>"SARL NEGOMETAL"</f>
        <v>SARL NEGOMETAL</v>
      </c>
      <c r="C706" s="4">
        <v>313484339</v>
      </c>
      <c r="D706" s="3" t="s">
        <v>0</v>
      </c>
      <c r="E706" s="2" t="str">
        <f>"PR260010D"</f>
        <v>PR260010D</v>
      </c>
      <c r="F706" s="5">
        <v>38995</v>
      </c>
      <c r="G706" s="5">
        <v>54789</v>
      </c>
      <c r="H706" s="4" t="str">
        <f>""</f>
        <v/>
      </c>
      <c r="I706" s="4" t="str">
        <f>""</f>
        <v/>
      </c>
    </row>
    <row r="707" spans="1:9" x14ac:dyDescent="0.3">
      <c r="A707" s="1" t="str">
        <f>"26"</f>
        <v>26</v>
      </c>
      <c r="B707" s="4" t="str">
        <f>"SARL NEGOMETAL"</f>
        <v>SARL NEGOMETAL</v>
      </c>
      <c r="C707" s="4">
        <v>313484339</v>
      </c>
      <c r="D707" s="3" t="s">
        <v>0</v>
      </c>
      <c r="E707" s="2" t="str">
        <f>"0010300063"</f>
        <v>0010300063</v>
      </c>
      <c r="F707" s="5">
        <v>43379</v>
      </c>
      <c r="G707" s="5">
        <v>54789</v>
      </c>
      <c r="H707" s="4" t="str">
        <f>""</f>
        <v/>
      </c>
      <c r="I707" s="4" t="str">
        <f>""</f>
        <v/>
      </c>
    </row>
    <row r="708" spans="1:9" x14ac:dyDescent="0.3">
      <c r="A708" s="1" t="str">
        <f>"26"</f>
        <v>26</v>
      </c>
      <c r="B708" s="4" t="str">
        <f>"AUTO PIECES OCCASION BERNARD JEAN"</f>
        <v>AUTO PIECES OCCASION BERNARD JEAN</v>
      </c>
      <c r="C708" s="4">
        <v>321229726</v>
      </c>
      <c r="D708" s="3" t="s">
        <v>0</v>
      </c>
      <c r="E708" s="2" t="str">
        <f>"PR260006D"</f>
        <v>PR260006D</v>
      </c>
      <c r="F708" s="5">
        <v>38869</v>
      </c>
      <c r="G708" s="5">
        <v>54789</v>
      </c>
      <c r="H708" s="4" t="str">
        <f>""</f>
        <v/>
      </c>
      <c r="I708" s="4" t="str">
        <f>""</f>
        <v/>
      </c>
    </row>
    <row r="709" spans="1:9" x14ac:dyDescent="0.3">
      <c r="A709" s="1" t="str">
        <f>"26"</f>
        <v>26</v>
      </c>
      <c r="B709" s="4" t="str">
        <f>"AUTO PIECES OCCASION BERNARD JEAN"</f>
        <v>AUTO PIECES OCCASION BERNARD JEAN</v>
      </c>
      <c r="C709" s="4">
        <v>321229726</v>
      </c>
      <c r="D709" s="3" t="s">
        <v>0</v>
      </c>
      <c r="E709" s="2" t="str">
        <f>"0006102518"</f>
        <v>0006102518</v>
      </c>
      <c r="F709" s="5">
        <v>38869</v>
      </c>
      <c r="G709" s="5">
        <v>54789</v>
      </c>
      <c r="H709" s="4" t="str">
        <f>""</f>
        <v/>
      </c>
      <c r="I709" s="4" t="str">
        <f>""</f>
        <v/>
      </c>
    </row>
    <row r="710" spans="1:9" x14ac:dyDescent="0.3">
      <c r="A710" s="1" t="str">
        <f>"26"</f>
        <v>26</v>
      </c>
      <c r="B710" s="4" t="str">
        <f>"AUTO PIECES OCCASION BERNARD JEAN"</f>
        <v>AUTO PIECES OCCASION BERNARD JEAN</v>
      </c>
      <c r="C710" s="4">
        <v>321229726</v>
      </c>
      <c r="D710" s="3" t="s">
        <v>0</v>
      </c>
      <c r="E710" s="2" t="str">
        <f>"PR260006D"</f>
        <v>PR260006D</v>
      </c>
      <c r="F710" s="5">
        <v>38869</v>
      </c>
      <c r="G710" s="5">
        <v>54789</v>
      </c>
      <c r="H710" s="4" t="str">
        <f>""</f>
        <v/>
      </c>
      <c r="I710" s="4" t="str">
        <f>""</f>
        <v/>
      </c>
    </row>
    <row r="711" spans="1:9" x14ac:dyDescent="0.3">
      <c r="A711" s="1" t="str">
        <f>"26"</f>
        <v>26</v>
      </c>
      <c r="B711" s="4" t="str">
        <f>"FERT DEMOLITION"</f>
        <v>FERT DEMOLITION</v>
      </c>
      <c r="C711" s="4">
        <v>329702260</v>
      </c>
      <c r="D711" s="3" t="s">
        <v>0</v>
      </c>
      <c r="E711" s="2" t="str">
        <f>"PR260004D"</f>
        <v>PR260004D</v>
      </c>
      <c r="F711" s="5">
        <v>43265</v>
      </c>
      <c r="G711" s="5">
        <v>54789</v>
      </c>
      <c r="H711" s="4" t="str">
        <f>""</f>
        <v/>
      </c>
      <c r="I711" s="4" t="str">
        <f>""</f>
        <v/>
      </c>
    </row>
    <row r="712" spans="1:9" x14ac:dyDescent="0.3">
      <c r="A712" s="1" t="str">
        <f>"26"</f>
        <v>26</v>
      </c>
      <c r="B712" s="4" t="str">
        <f>"SAS FERT DEMOLITION- SITE D'ETOILE SUR RHONE"</f>
        <v>SAS FERT DEMOLITION- SITE D'ETOILE SUR RHONE</v>
      </c>
      <c r="C712" s="4">
        <v>329702260</v>
      </c>
      <c r="D712" s="3" t="s">
        <v>0</v>
      </c>
      <c r="E712" s="2" t="str">
        <f>"PR260007D"</f>
        <v>PR260007D</v>
      </c>
      <c r="F712" s="5">
        <v>38874</v>
      </c>
      <c r="G712" s="5">
        <v>54789</v>
      </c>
      <c r="H712" s="4" t="str">
        <f>""</f>
        <v/>
      </c>
      <c r="I712" s="4" t="str">
        <f>""</f>
        <v/>
      </c>
    </row>
    <row r="713" spans="1:9" x14ac:dyDescent="0.3">
      <c r="A713" s="1" t="str">
        <f>"26"</f>
        <v>26</v>
      </c>
      <c r="B713" s="4" t="str">
        <f>"SAS FERT DEMOLITION- SITE D'ETOILE SUR RHONE"</f>
        <v>SAS FERT DEMOLITION- SITE D'ETOILE SUR RHONE</v>
      </c>
      <c r="C713" s="4">
        <v>329702260</v>
      </c>
      <c r="D713" s="3" t="s">
        <v>0</v>
      </c>
      <c r="E713" s="2" t="str">
        <f>"0006102572"</f>
        <v>0006102572</v>
      </c>
      <c r="F713" s="5">
        <v>43257</v>
      </c>
      <c r="G713" s="5">
        <v>54789</v>
      </c>
      <c r="H713" s="4" t="str">
        <f>""</f>
        <v/>
      </c>
      <c r="I713" s="4" t="str">
        <f>""</f>
        <v/>
      </c>
    </row>
    <row r="714" spans="1:9" x14ac:dyDescent="0.3">
      <c r="A714" s="1" t="str">
        <f>"26"</f>
        <v>26</v>
      </c>
      <c r="B714" s="4" t="str">
        <f>"FERT DEMOLITION"</f>
        <v>FERT DEMOLITION</v>
      </c>
      <c r="C714" s="4">
        <v>329702260</v>
      </c>
      <c r="D714" s="3" t="s">
        <v>0</v>
      </c>
      <c r="E714" s="2" t="str">
        <f>"0010300266"</f>
        <v>0010300266</v>
      </c>
      <c r="F714" s="5">
        <v>43265</v>
      </c>
      <c r="G714" s="5">
        <v>54789</v>
      </c>
      <c r="H714" s="4" t="str">
        <f>""</f>
        <v/>
      </c>
      <c r="I714" s="4" t="str">
        <f>""</f>
        <v/>
      </c>
    </row>
    <row r="715" spans="1:9" x14ac:dyDescent="0.3">
      <c r="A715" s="1" t="str">
        <f>"26"</f>
        <v>26</v>
      </c>
      <c r="B715" s="4" t="str">
        <f>"PIEC'AUTO 26"</f>
        <v>PIEC'AUTO 26</v>
      </c>
      <c r="C715" s="4">
        <v>378597751</v>
      </c>
      <c r="D715" s="3" t="s">
        <v>0</v>
      </c>
      <c r="E715" s="2" t="str">
        <f>"PR260013D"</f>
        <v>PR260013D</v>
      </c>
      <c r="F715" s="5">
        <v>43501</v>
      </c>
      <c r="G715" s="5">
        <v>54789</v>
      </c>
      <c r="H715" s="4" t="str">
        <f>""</f>
        <v/>
      </c>
      <c r="I715" s="4" t="str">
        <f>""</f>
        <v/>
      </c>
    </row>
    <row r="716" spans="1:9" x14ac:dyDescent="0.3">
      <c r="A716" s="1" t="str">
        <f>"26"</f>
        <v>26</v>
      </c>
      <c r="B716" s="4" t="str">
        <f>"PIEC'AUTO 26"</f>
        <v>PIEC'AUTO 26</v>
      </c>
      <c r="C716" s="4">
        <v>378597751</v>
      </c>
      <c r="D716" s="3" t="s">
        <v>0</v>
      </c>
      <c r="E716" s="2" t="str">
        <f>"0010300034"</f>
        <v>0010300034</v>
      </c>
      <c r="F716" s="5">
        <v>43494</v>
      </c>
      <c r="G716" s="5">
        <v>54789</v>
      </c>
      <c r="H716" s="4" t="str">
        <f>""</f>
        <v/>
      </c>
      <c r="I716" s="4" t="str">
        <f>""</f>
        <v/>
      </c>
    </row>
    <row r="717" spans="1:9" x14ac:dyDescent="0.3">
      <c r="A717" s="1" t="str">
        <f>"26"</f>
        <v>26</v>
      </c>
      <c r="B717" s="4" t="str">
        <f>"SARL DEGAND"</f>
        <v>SARL DEGAND</v>
      </c>
      <c r="C717" s="4">
        <v>422769109</v>
      </c>
      <c r="D717" s="3" t="s">
        <v>0</v>
      </c>
      <c r="E717" s="2" t="str">
        <f>"PR260011D"</f>
        <v>PR260011D</v>
      </c>
      <c r="F717" s="5">
        <v>39056</v>
      </c>
      <c r="G717" s="5">
        <v>54789</v>
      </c>
      <c r="H717" s="4" t="str">
        <f>""</f>
        <v/>
      </c>
      <c r="I717" s="4" t="str">
        <f>""</f>
        <v/>
      </c>
    </row>
    <row r="718" spans="1:9" x14ac:dyDescent="0.3">
      <c r="A718" s="1" t="str">
        <f>"26"</f>
        <v>26</v>
      </c>
      <c r="B718" s="4" t="str">
        <f>"SARL GPA"</f>
        <v>SARL GPA</v>
      </c>
      <c r="C718" s="4">
        <v>437281207</v>
      </c>
      <c r="D718" s="3" t="s">
        <v>0</v>
      </c>
      <c r="E718" s="2" t="str">
        <f>"PR260026D"</f>
        <v>PR260026D</v>
      </c>
      <c r="F718" s="5">
        <v>40870</v>
      </c>
      <c r="G718" s="5">
        <v>54789</v>
      </c>
      <c r="H718" s="4" t="str">
        <f>""</f>
        <v/>
      </c>
      <c r="I718" s="4" t="str">
        <f>""</f>
        <v/>
      </c>
    </row>
    <row r="719" spans="1:9" x14ac:dyDescent="0.3">
      <c r="A719" s="1" t="str">
        <f>"26"</f>
        <v>26</v>
      </c>
      <c r="B719" s="4" t="str">
        <f>"SARL GPA"</f>
        <v>SARL GPA</v>
      </c>
      <c r="C719" s="4">
        <v>437281207</v>
      </c>
      <c r="D719" s="3" t="s">
        <v>0</v>
      </c>
      <c r="E719" s="2" t="str">
        <f>"PR260026B"</f>
        <v>PR260026B</v>
      </c>
      <c r="F719" s="5">
        <v>40870</v>
      </c>
      <c r="G719" s="5">
        <v>54789</v>
      </c>
      <c r="H719" s="4" t="str">
        <f>""</f>
        <v/>
      </c>
      <c r="I719" s="4" t="str">
        <f>""</f>
        <v/>
      </c>
    </row>
    <row r="720" spans="1:9" x14ac:dyDescent="0.3">
      <c r="A720" s="1" t="str">
        <f>"26"</f>
        <v>26</v>
      </c>
      <c r="B720" s="4" t="str">
        <f>"SARL GPA"</f>
        <v>SARL GPA</v>
      </c>
      <c r="C720" s="4">
        <v>437281207</v>
      </c>
      <c r="D720" s="3" t="s">
        <v>0</v>
      </c>
      <c r="E720" s="2" t="str">
        <f>"0006102588"</f>
        <v>0006102588</v>
      </c>
      <c r="F720" s="5">
        <v>43931</v>
      </c>
      <c r="G720" s="5">
        <v>54789</v>
      </c>
      <c r="H720" s="4" t="str">
        <f>""</f>
        <v/>
      </c>
      <c r="I720" s="4" t="str">
        <f>""</f>
        <v/>
      </c>
    </row>
    <row r="721" spans="1:9" x14ac:dyDescent="0.3">
      <c r="A721" s="1" t="str">
        <f>"26"</f>
        <v>26</v>
      </c>
      <c r="B721" s="4" t="str">
        <f>"SAS FL INDUSTRIE"</f>
        <v>SAS FL INDUSTRIE</v>
      </c>
      <c r="C721" s="4">
        <v>449598457</v>
      </c>
      <c r="D721" s="3" t="s">
        <v>0</v>
      </c>
      <c r="E721" s="2" t="str">
        <f>"PR260022D"</f>
        <v>PR260022D</v>
      </c>
      <c r="F721" s="5">
        <v>39951</v>
      </c>
      <c r="G721" s="5">
        <v>54789</v>
      </c>
      <c r="H721" s="4" t="str">
        <f>""</f>
        <v/>
      </c>
      <c r="I721" s="4" t="str">
        <f>""</f>
        <v/>
      </c>
    </row>
    <row r="722" spans="1:9" x14ac:dyDescent="0.3">
      <c r="A722" s="1" t="str">
        <f>"26"</f>
        <v>26</v>
      </c>
      <c r="B722" s="4" t="str">
        <f>"SAS FL INDUSTRIE"</f>
        <v>SAS FL INDUSTRIE</v>
      </c>
      <c r="C722" s="4">
        <v>449598457</v>
      </c>
      <c r="D722" s="3" t="s">
        <v>0</v>
      </c>
      <c r="E722" s="2" t="str">
        <f>"0010300267"</f>
        <v>0010300267</v>
      </c>
      <c r="F722" s="5">
        <v>42142</v>
      </c>
      <c r="G722" s="5">
        <v>54789</v>
      </c>
      <c r="H722" s="4" t="str">
        <f>""</f>
        <v/>
      </c>
      <c r="I722" s="4" t="str">
        <f>""</f>
        <v/>
      </c>
    </row>
    <row r="723" spans="1:9" x14ac:dyDescent="0.3">
      <c r="A723" s="1" t="str">
        <f>"26"</f>
        <v>26</v>
      </c>
      <c r="B723" s="4" t="str">
        <f>"STE GTI GROUPE"</f>
        <v>STE GTI GROUPE</v>
      </c>
      <c r="C723" s="4">
        <v>453267031</v>
      </c>
      <c r="D723" s="3" t="s">
        <v>0</v>
      </c>
      <c r="E723" s="2" t="str">
        <f>"PR260027D"</f>
        <v>PR260027D</v>
      </c>
      <c r="F723" s="5">
        <v>41165</v>
      </c>
      <c r="G723" s="5">
        <v>54789</v>
      </c>
      <c r="H723" s="4" t="str">
        <f>""</f>
        <v/>
      </c>
      <c r="I723" s="4" t="str">
        <f>""</f>
        <v/>
      </c>
    </row>
    <row r="724" spans="1:9" x14ac:dyDescent="0.3">
      <c r="A724" s="1" t="str">
        <f>"26"</f>
        <v>26</v>
      </c>
      <c r="B724" s="4" t="str">
        <f>"STE GTI GROUPE"</f>
        <v>STE GTI GROUPE</v>
      </c>
      <c r="C724" s="4">
        <v>453267031</v>
      </c>
      <c r="D724" s="3" t="s">
        <v>0</v>
      </c>
      <c r="E724" s="2" t="str">
        <f>"0006110280"</f>
        <v>0006110280</v>
      </c>
      <c r="F724" s="5">
        <v>43374</v>
      </c>
      <c r="G724" s="5">
        <v>54789</v>
      </c>
      <c r="H724" s="4" t="str">
        <f>""</f>
        <v/>
      </c>
      <c r="I724" s="4" t="str">
        <f>""</f>
        <v/>
      </c>
    </row>
    <row r="725" spans="1:9" x14ac:dyDescent="0.3">
      <c r="A725" s="1" t="str">
        <f>"26"</f>
        <v>26</v>
      </c>
      <c r="B725" s="4" t="str">
        <f>"SOCIETE APM"</f>
        <v>SOCIETE APM</v>
      </c>
      <c r="C725" s="4">
        <v>501715049</v>
      </c>
      <c r="D725" s="3" t="s">
        <v>0</v>
      </c>
      <c r="E725" s="2" t="str">
        <f>"PR260018D"</f>
        <v>PR260018D</v>
      </c>
      <c r="F725" s="5">
        <v>39616</v>
      </c>
      <c r="G725" s="5">
        <v>54789</v>
      </c>
      <c r="H725" s="4" t="str">
        <f>""</f>
        <v/>
      </c>
      <c r="I725" s="4" t="str">
        <f>""</f>
        <v/>
      </c>
    </row>
    <row r="726" spans="1:9" x14ac:dyDescent="0.3">
      <c r="A726" s="1" t="str">
        <f>"26"</f>
        <v>26</v>
      </c>
      <c r="B726" s="4" t="str">
        <f>"SOCIETE APM"</f>
        <v>SOCIETE APM</v>
      </c>
      <c r="C726" s="4">
        <v>501715049</v>
      </c>
      <c r="D726" s="3" t="s">
        <v>0</v>
      </c>
      <c r="E726" s="2" t="str">
        <f>"0006102541"</f>
        <v>0006102541</v>
      </c>
      <c r="F726" s="5">
        <v>41807</v>
      </c>
      <c r="G726" s="5">
        <v>54789</v>
      </c>
      <c r="H726" s="4" t="str">
        <f>""</f>
        <v/>
      </c>
      <c r="I726" s="4" t="str">
        <f>""</f>
        <v/>
      </c>
    </row>
    <row r="727" spans="1:9" x14ac:dyDescent="0.3">
      <c r="A727" s="1" t="str">
        <f>"26"</f>
        <v>26</v>
      </c>
      <c r="B727" s="4" t="str">
        <f>"SOCIETE NOUVELLE DEPRE AUTOMOBILES"</f>
        <v>SOCIETE NOUVELLE DEPRE AUTOMOBILES</v>
      </c>
      <c r="C727" s="4">
        <v>531076578</v>
      </c>
      <c r="D727" s="3" t="s">
        <v>0</v>
      </c>
      <c r="E727" s="2" t="str">
        <f>"PR260021D"</f>
        <v>PR260021D</v>
      </c>
      <c r="F727" s="5">
        <v>42689</v>
      </c>
      <c r="G727" s="5">
        <v>54789</v>
      </c>
      <c r="H727" s="4" t="str">
        <f>""</f>
        <v/>
      </c>
      <c r="I727" s="4" t="str">
        <f>""</f>
        <v/>
      </c>
    </row>
    <row r="728" spans="1:9" x14ac:dyDescent="0.3">
      <c r="A728" s="1" t="str">
        <f>"26"</f>
        <v>26</v>
      </c>
      <c r="B728" s="4" t="str">
        <f>"SOCIETE NOUVELLE DEPRE AUTOMOBILES"</f>
        <v>SOCIETE NOUVELLE DEPRE AUTOMOBILES</v>
      </c>
      <c r="C728" s="4">
        <v>531076578</v>
      </c>
      <c r="D728" s="3" t="s">
        <v>0</v>
      </c>
      <c r="E728" s="2" t="str">
        <f>"0006102612"</f>
        <v>0006102612</v>
      </c>
      <c r="F728" s="5">
        <v>42689</v>
      </c>
      <c r="G728" s="5">
        <v>54789</v>
      </c>
      <c r="H728" s="4" t="str">
        <f>""</f>
        <v/>
      </c>
      <c r="I728" s="4" t="str">
        <f>""</f>
        <v/>
      </c>
    </row>
    <row r="729" spans="1:9" x14ac:dyDescent="0.3">
      <c r="A729" s="1" t="str">
        <f>"26"</f>
        <v>26</v>
      </c>
      <c r="B729" s="4" t="str">
        <f>"GUY DAUPHIN ENVIRONNEMENT"</f>
        <v>GUY DAUPHIN ENVIRONNEMENT</v>
      </c>
      <c r="C729" s="4">
        <v>653820530</v>
      </c>
      <c r="D729" s="3" t="s">
        <v>0</v>
      </c>
      <c r="E729" s="2" t="str">
        <f>"PR260019D"</f>
        <v>PR260019D</v>
      </c>
      <c r="F729" s="5">
        <v>39617</v>
      </c>
      <c r="G729" s="5">
        <v>54789</v>
      </c>
      <c r="H729" s="4" t="str">
        <f>""</f>
        <v/>
      </c>
      <c r="I729" s="4" t="str">
        <f>""</f>
        <v/>
      </c>
    </row>
    <row r="730" spans="1:9" x14ac:dyDescent="0.3">
      <c r="A730" s="1" t="str">
        <f>"26"</f>
        <v>26</v>
      </c>
      <c r="B730" s="4" t="str">
        <f>"GUY DAUPHIN ENVIRONNEMENT"</f>
        <v>GUY DAUPHIN ENVIRONNEMENT</v>
      </c>
      <c r="C730" s="4">
        <v>653820530</v>
      </c>
      <c r="D730" s="3" t="s">
        <v>0</v>
      </c>
      <c r="E730" s="2" t="str">
        <f>"0006102669"</f>
        <v>0006102669</v>
      </c>
      <c r="F730" s="5">
        <v>39617</v>
      </c>
      <c r="G730" s="5">
        <v>54789</v>
      </c>
      <c r="H730" s="4" t="str">
        <f>""</f>
        <v/>
      </c>
      <c r="I730" s="4" t="str">
        <f>""</f>
        <v/>
      </c>
    </row>
    <row r="731" spans="1:9" x14ac:dyDescent="0.3">
      <c r="A731" s="1" t="str">
        <f>"26"</f>
        <v>26</v>
      </c>
      <c r="B731" s="4" t="str">
        <f>"GAZ AUTO PIECES"</f>
        <v>GAZ AUTO PIECES</v>
      </c>
      <c r="C731" s="4">
        <v>952593176</v>
      </c>
      <c r="D731" s="3" t="s">
        <v>0</v>
      </c>
      <c r="E731" s="2" t="str">
        <f>"0006102637"</f>
        <v>0006102637</v>
      </c>
      <c r="F731" s="5">
        <v>45145</v>
      </c>
      <c r="G731" s="5">
        <v>54789</v>
      </c>
      <c r="H731" s="4" t="str">
        <f>""</f>
        <v/>
      </c>
      <c r="I731" s="4" t="str">
        <f>""</f>
        <v/>
      </c>
    </row>
    <row r="732" spans="1:9" x14ac:dyDescent="0.3">
      <c r="A732" s="1" t="str">
        <f>"26"</f>
        <v>26</v>
      </c>
      <c r="B732" s="4" t="str">
        <f>"GAZ AUTO PIECES"</f>
        <v>GAZ AUTO PIECES</v>
      </c>
      <c r="C732" s="4">
        <v>952593176</v>
      </c>
      <c r="D732" s="3" t="s">
        <v>0</v>
      </c>
      <c r="E732" s="2" t="str">
        <f>"PR260029D"</f>
        <v>PR260029D</v>
      </c>
      <c r="F732" s="5">
        <v>45145</v>
      </c>
      <c r="G732" s="5">
        <v>54789</v>
      </c>
      <c r="H732" s="4" t="str">
        <f>""</f>
        <v/>
      </c>
      <c r="I732" s="4" t="str">
        <f>""</f>
        <v/>
      </c>
    </row>
    <row r="733" spans="1:9" x14ac:dyDescent="0.3">
      <c r="A733" s="1" t="str">
        <f>"26"</f>
        <v>26</v>
      </c>
      <c r="B733" s="4" t="str">
        <f>"SARL CRAC AUTO"</f>
        <v>SARL CRAC AUTO</v>
      </c>
      <c r="C733" s="4">
        <v>995920105</v>
      </c>
      <c r="D733" s="3" t="s">
        <v>0</v>
      </c>
      <c r="E733" s="2" t="str">
        <f>"PR260003D"</f>
        <v>PR260003D</v>
      </c>
      <c r="F733" s="5">
        <v>38847</v>
      </c>
      <c r="G733" s="5">
        <v>54789</v>
      </c>
      <c r="H733" s="4" t="str">
        <f>""</f>
        <v/>
      </c>
      <c r="I733" s="4" t="str">
        <f>""</f>
        <v/>
      </c>
    </row>
    <row r="734" spans="1:9" x14ac:dyDescent="0.3">
      <c r="A734" s="1" t="str">
        <f>"26"</f>
        <v>26</v>
      </c>
      <c r="B734" s="4" t="str">
        <f>"SARL CRAC AUTO"</f>
        <v>SARL CRAC AUTO</v>
      </c>
      <c r="C734" s="4">
        <v>995920105</v>
      </c>
      <c r="D734" s="3" t="s">
        <v>0</v>
      </c>
      <c r="E734" s="2" t="str">
        <f>"0006102482"</f>
        <v>0006102482</v>
      </c>
      <c r="F734" s="5">
        <v>43291</v>
      </c>
      <c r="G734" s="5">
        <v>54789</v>
      </c>
      <c r="H734" s="4" t="str">
        <f>""</f>
        <v/>
      </c>
      <c r="I734" s="4" t="str">
        <f>""</f>
        <v/>
      </c>
    </row>
    <row r="735" spans="1:9" x14ac:dyDescent="0.3">
      <c r="A735" s="1" t="str">
        <f>"27"</f>
        <v>27</v>
      </c>
      <c r="B735" s="4" t="str">
        <f>"SOCIETE MULTI CHOC"</f>
        <v>SOCIETE MULTI CHOC</v>
      </c>
      <c r="C735" s="4">
        <v>329347488</v>
      </c>
      <c r="D735" s="3" t="s">
        <v>0</v>
      </c>
      <c r="E735" s="2" t="str">
        <f>"PR2700003D"</f>
        <v>PR2700003D</v>
      </c>
      <c r="F735" s="5">
        <v>38821</v>
      </c>
      <c r="G735" s="5">
        <v>54789</v>
      </c>
      <c r="H735" s="4" t="str">
        <f>""</f>
        <v/>
      </c>
      <c r="I735" s="4" t="str">
        <f>""</f>
        <v/>
      </c>
    </row>
    <row r="736" spans="1:9" x14ac:dyDescent="0.3">
      <c r="A736" s="1" t="str">
        <f>"27"</f>
        <v>27</v>
      </c>
      <c r="B736" s="4" t="str">
        <f>"SOCIETE MULTI CHOC"</f>
        <v>SOCIETE MULTI CHOC</v>
      </c>
      <c r="C736" s="4">
        <v>329347488</v>
      </c>
      <c r="D736" s="3" t="s">
        <v>0</v>
      </c>
      <c r="E736" s="2" t="str">
        <f>"0030100209"</f>
        <v>0030100209</v>
      </c>
      <c r="F736" s="5">
        <v>38821</v>
      </c>
      <c r="G736" s="5">
        <v>54789</v>
      </c>
      <c r="H736" s="4" t="str">
        <f>""</f>
        <v/>
      </c>
      <c r="I736" s="4" t="str">
        <f>""</f>
        <v/>
      </c>
    </row>
    <row r="737" spans="1:9" x14ac:dyDescent="0.3">
      <c r="A737" s="1" t="str">
        <f>"27"</f>
        <v>27</v>
      </c>
      <c r="B737" s="4" t="str">
        <f>"SARL KOLENO ET FILS"</f>
        <v>SARL KOLENO ET FILS</v>
      </c>
      <c r="C737" s="4">
        <v>352132369</v>
      </c>
      <c r="D737" s="3" t="s">
        <v>0</v>
      </c>
      <c r="E737" s="2" t="str">
        <f>"PR2700013D"</f>
        <v>PR2700013D</v>
      </c>
      <c r="F737" s="5">
        <v>41627</v>
      </c>
      <c r="G737" s="5">
        <v>54789</v>
      </c>
      <c r="H737" s="4" t="str">
        <f>""</f>
        <v/>
      </c>
      <c r="I737" s="4" t="str">
        <f>""</f>
        <v/>
      </c>
    </row>
    <row r="738" spans="1:9" x14ac:dyDescent="0.3">
      <c r="A738" s="1" t="str">
        <f>"27"</f>
        <v>27</v>
      </c>
      <c r="B738" s="4" t="str">
        <f>"SARL KOLENO ET FILS"</f>
        <v>SARL KOLENO ET FILS</v>
      </c>
      <c r="C738" s="4">
        <v>352132369</v>
      </c>
      <c r="D738" s="3" t="s">
        <v>0</v>
      </c>
      <c r="E738" s="2" t="str">
        <f>"0005802259"</f>
        <v>0005802259</v>
      </c>
      <c r="F738" s="5">
        <v>41627</v>
      </c>
      <c r="G738" s="5">
        <v>54789</v>
      </c>
      <c r="H738" s="4" t="str">
        <f>""</f>
        <v/>
      </c>
      <c r="I738" s="4" t="str">
        <f>""</f>
        <v/>
      </c>
    </row>
    <row r="739" spans="1:9" x14ac:dyDescent="0.3">
      <c r="A739" s="1" t="str">
        <f>"27"</f>
        <v>27</v>
      </c>
      <c r="B739" s="4" t="str">
        <f>"SOCIETE ROYER"</f>
        <v>SOCIETE ROYER</v>
      </c>
      <c r="C739" s="4">
        <v>381776947</v>
      </c>
      <c r="D739" s="3" t="s">
        <v>0</v>
      </c>
      <c r="E739" s="2" t="str">
        <f>"PR2700002D"</f>
        <v>PR2700002D</v>
      </c>
      <c r="F739" s="5">
        <v>38821</v>
      </c>
      <c r="G739" s="5">
        <v>54789</v>
      </c>
      <c r="H739" s="4" t="str">
        <f>""</f>
        <v/>
      </c>
      <c r="I739" s="4" t="str">
        <f>""</f>
        <v/>
      </c>
    </row>
    <row r="740" spans="1:9" x14ac:dyDescent="0.3">
      <c r="A740" s="1" t="str">
        <f>"27"</f>
        <v>27</v>
      </c>
      <c r="B740" s="4" t="str">
        <f>"SOCIETE ROYER"</f>
        <v>SOCIETE ROYER</v>
      </c>
      <c r="C740" s="4">
        <v>381776947</v>
      </c>
      <c r="D740" s="3" t="s">
        <v>0</v>
      </c>
      <c r="E740" s="2" t="str">
        <f>"0005801136"</f>
        <v>0005801136</v>
      </c>
      <c r="F740" s="5">
        <v>38821</v>
      </c>
      <c r="G740" s="5">
        <v>54789</v>
      </c>
      <c r="H740" s="4" t="str">
        <f>""</f>
        <v/>
      </c>
      <c r="I740" s="4" t="str">
        <f>""</f>
        <v/>
      </c>
    </row>
    <row r="741" spans="1:9" x14ac:dyDescent="0.3">
      <c r="A741" s="1" t="str">
        <f>"27"</f>
        <v>27</v>
      </c>
      <c r="B741" s="4" t="str">
        <f>"SOCIETE BRANTHOMME"</f>
        <v>SOCIETE BRANTHOMME</v>
      </c>
      <c r="C741" s="4">
        <v>388123416</v>
      </c>
      <c r="D741" s="3" t="s">
        <v>0</v>
      </c>
      <c r="E741" s="2" t="str">
        <f>"PR2700009D"</f>
        <v>PR2700009D</v>
      </c>
      <c r="F741" s="5">
        <v>43504</v>
      </c>
      <c r="G741" s="5">
        <v>54789</v>
      </c>
      <c r="H741" s="4" t="str">
        <f>""</f>
        <v/>
      </c>
      <c r="I741" s="4" t="str">
        <f>""</f>
        <v/>
      </c>
    </row>
    <row r="742" spans="1:9" x14ac:dyDescent="0.3">
      <c r="A742" s="1" t="str">
        <f>"27"</f>
        <v>27</v>
      </c>
      <c r="B742" s="4" t="str">
        <f>"SOCIETE BRANTHOMME"</f>
        <v>SOCIETE BRANTHOMME</v>
      </c>
      <c r="C742" s="4">
        <v>388123416</v>
      </c>
      <c r="D742" s="3" t="s">
        <v>0</v>
      </c>
      <c r="E742" s="2" t="str">
        <f>"0030100063"</f>
        <v>0030100063</v>
      </c>
      <c r="F742" s="5">
        <v>43504</v>
      </c>
      <c r="G742" s="5">
        <v>54789</v>
      </c>
      <c r="H742" s="4" t="str">
        <f>""</f>
        <v/>
      </c>
      <c r="I742" s="4" t="str">
        <f>""</f>
        <v/>
      </c>
    </row>
    <row r="743" spans="1:9" x14ac:dyDescent="0.3">
      <c r="A743" s="1" t="str">
        <f>"27"</f>
        <v>27</v>
      </c>
      <c r="B743" s="4" t="str">
        <f>"STE EUREMETAL"</f>
        <v>STE EUREMETAL</v>
      </c>
      <c r="C743" s="4">
        <v>394116495</v>
      </c>
      <c r="D743" s="3" t="s">
        <v>0</v>
      </c>
      <c r="E743" s="2" t="str">
        <f>"PR2700026D"</f>
        <v>PR2700026D</v>
      </c>
      <c r="F743" s="5">
        <v>43808</v>
      </c>
      <c r="G743" s="5">
        <v>54789</v>
      </c>
      <c r="H743" s="4" t="str">
        <f>""</f>
        <v/>
      </c>
      <c r="I743" s="4" t="str">
        <f>""</f>
        <v/>
      </c>
    </row>
    <row r="744" spans="1:9" x14ac:dyDescent="0.3">
      <c r="A744" s="1" t="str">
        <f>"27"</f>
        <v>27</v>
      </c>
      <c r="B744" s="4" t="str">
        <f>"STE EUREMETAL"</f>
        <v>STE EUREMETAL</v>
      </c>
      <c r="C744" s="4">
        <v>394116495</v>
      </c>
      <c r="D744" s="3" t="s">
        <v>0</v>
      </c>
      <c r="E744" s="2" t="str">
        <f>"0005800855"</f>
        <v>0005800855</v>
      </c>
      <c r="F744" s="5">
        <v>43808</v>
      </c>
      <c r="G744" s="5">
        <v>54789</v>
      </c>
      <c r="H744" s="4" t="str">
        <f>""</f>
        <v/>
      </c>
      <c r="I744" s="4" t="str">
        <f>""</f>
        <v/>
      </c>
    </row>
    <row r="745" spans="1:9" x14ac:dyDescent="0.3">
      <c r="A745" s="1" t="str">
        <f>"27"</f>
        <v>27</v>
      </c>
      <c r="B745" s="4" t="str">
        <f>"ESPACE AUTO BERNAY"</f>
        <v>ESPACE AUTO BERNAY</v>
      </c>
      <c r="C745" s="4">
        <v>401159249</v>
      </c>
      <c r="D745" s="3" t="s">
        <v>0</v>
      </c>
      <c r="E745" s="2" t="str">
        <f>"PR2700029D"</f>
        <v>PR2700029D</v>
      </c>
      <c r="F745" s="5">
        <v>42439</v>
      </c>
      <c r="G745" s="5">
        <v>54789</v>
      </c>
      <c r="H745" s="4" t="str">
        <f>""</f>
        <v/>
      </c>
      <c r="I745" s="4" t="str">
        <f>""</f>
        <v/>
      </c>
    </row>
    <row r="746" spans="1:9" x14ac:dyDescent="0.3">
      <c r="A746" s="1" t="str">
        <f>"27"</f>
        <v>27</v>
      </c>
      <c r="B746" s="4" t="str">
        <f>"ESPACE AUTO BERNAY"</f>
        <v>ESPACE AUTO BERNAY</v>
      </c>
      <c r="C746" s="4">
        <v>401159249</v>
      </c>
      <c r="D746" s="3" t="s">
        <v>0</v>
      </c>
      <c r="E746" s="2" t="str">
        <f>"0005802758"</f>
        <v>0005802758</v>
      </c>
      <c r="F746" s="5">
        <v>42439</v>
      </c>
      <c r="G746" s="5">
        <v>54789</v>
      </c>
      <c r="H746" s="4" t="str">
        <f>""</f>
        <v/>
      </c>
      <c r="I746" s="4" t="str">
        <f>""</f>
        <v/>
      </c>
    </row>
    <row r="747" spans="1:9" x14ac:dyDescent="0.3">
      <c r="A747" s="1" t="str">
        <f>"27"</f>
        <v>27</v>
      </c>
      <c r="B747" s="4" t="str">
        <f>"ETABLISSEMENTS TESSIER"</f>
        <v>ETABLISSEMENTS TESSIER</v>
      </c>
      <c r="C747" s="4">
        <v>403473184</v>
      </c>
      <c r="D747" s="3" t="s">
        <v>0</v>
      </c>
      <c r="E747" s="2" t="str">
        <f>"PR2700020D"</f>
        <v>PR2700020D</v>
      </c>
      <c r="F747" s="5">
        <v>42782</v>
      </c>
      <c r="G747" s="5">
        <v>54789</v>
      </c>
      <c r="H747" s="4" t="str">
        <f>""</f>
        <v/>
      </c>
      <c r="I747" s="4" t="str">
        <f>""</f>
        <v/>
      </c>
    </row>
    <row r="748" spans="1:9" x14ac:dyDescent="0.3">
      <c r="A748" s="1" t="str">
        <f>"27"</f>
        <v>27</v>
      </c>
      <c r="B748" s="4" t="str">
        <f>"ETABLISSEMENTS TESSIER"</f>
        <v>ETABLISSEMENTS TESSIER</v>
      </c>
      <c r="C748" s="4">
        <v>403473184</v>
      </c>
      <c r="D748" s="3" t="s">
        <v>0</v>
      </c>
      <c r="E748" s="2" t="str">
        <f>"0005800949"</f>
        <v>0005800949</v>
      </c>
      <c r="F748" s="5">
        <v>42782</v>
      </c>
      <c r="G748" s="5">
        <v>54789</v>
      </c>
      <c r="H748" s="4" t="str">
        <f>""</f>
        <v/>
      </c>
      <c r="I748" s="4" t="str">
        <f>""</f>
        <v/>
      </c>
    </row>
    <row r="749" spans="1:9" x14ac:dyDescent="0.3">
      <c r="A749" s="1" t="str">
        <f>"27"</f>
        <v>27</v>
      </c>
      <c r="B749" s="4" t="str">
        <f>"SOCIETE PASSENAUD RECYCLAGE"</f>
        <v>SOCIETE PASSENAUD RECYCLAGE</v>
      </c>
      <c r="C749" s="4">
        <v>412242315</v>
      </c>
      <c r="D749" s="3" t="s">
        <v>0</v>
      </c>
      <c r="E749" s="2" t="str">
        <f>"PR2700010D"</f>
        <v>PR2700010D</v>
      </c>
      <c r="F749" s="5">
        <v>41598</v>
      </c>
      <c r="G749" s="5">
        <v>54789</v>
      </c>
      <c r="H749" s="4" t="str">
        <f>""</f>
        <v/>
      </c>
      <c r="I749" s="4" t="str">
        <f>""</f>
        <v/>
      </c>
    </row>
    <row r="750" spans="1:9" x14ac:dyDescent="0.3">
      <c r="A750" s="1" t="str">
        <f>"27"</f>
        <v>27</v>
      </c>
      <c r="B750" s="4" t="str">
        <f>"SOCIETE PASSENAUD RECYCLAGE"</f>
        <v>SOCIETE PASSENAUD RECYCLAGE</v>
      </c>
      <c r="C750" s="4">
        <v>412242315</v>
      </c>
      <c r="D750" s="3" t="s">
        <v>0</v>
      </c>
      <c r="E750" s="2" t="str">
        <f>"0005801030"</f>
        <v>0005801030</v>
      </c>
      <c r="F750" s="5">
        <v>41598</v>
      </c>
      <c r="G750" s="5">
        <v>54789</v>
      </c>
      <c r="H750" s="4" t="str">
        <f>""</f>
        <v/>
      </c>
      <c r="I750" s="4" t="str">
        <f>""</f>
        <v/>
      </c>
    </row>
    <row r="751" spans="1:9" x14ac:dyDescent="0.3">
      <c r="A751" s="1" t="str">
        <f>"27"</f>
        <v>27</v>
      </c>
      <c r="B751" s="4" t="str">
        <f>"AUTOPIECES LESIEUX"</f>
        <v>AUTOPIECES LESIEUX</v>
      </c>
      <c r="C751" s="4">
        <v>431277565</v>
      </c>
      <c r="D751" s="3" t="s">
        <v>0</v>
      </c>
      <c r="E751" s="2" t="str">
        <f>"PR2700014D"</f>
        <v>PR2700014D</v>
      </c>
      <c r="F751" s="5">
        <v>41747</v>
      </c>
      <c r="G751" s="5">
        <v>54789</v>
      </c>
      <c r="H751" s="4" t="str">
        <f>""</f>
        <v/>
      </c>
      <c r="I751" s="4" t="str">
        <f>""</f>
        <v/>
      </c>
    </row>
    <row r="752" spans="1:9" x14ac:dyDescent="0.3">
      <c r="A752" s="1" t="str">
        <f>"27"</f>
        <v>27</v>
      </c>
      <c r="B752" s="4" t="str">
        <f>"SARL MASSET"</f>
        <v>SARL MASSET</v>
      </c>
      <c r="C752" s="4">
        <v>477925770</v>
      </c>
      <c r="D752" s="3" t="s">
        <v>0</v>
      </c>
      <c r="E752" s="2" t="str">
        <f>"PR2700017D"</f>
        <v>PR2700017D</v>
      </c>
      <c r="F752" s="5">
        <v>39750</v>
      </c>
      <c r="G752" s="5">
        <v>54789</v>
      </c>
      <c r="H752" s="4" t="str">
        <f>""</f>
        <v/>
      </c>
      <c r="I752" s="4" t="str">
        <f>""</f>
        <v/>
      </c>
    </row>
    <row r="753" spans="1:9" x14ac:dyDescent="0.3">
      <c r="A753" s="1" t="str">
        <f>"27"</f>
        <v>27</v>
      </c>
      <c r="B753" s="4" t="str">
        <f>"SARL MASSET"</f>
        <v>SARL MASSET</v>
      </c>
      <c r="C753" s="4">
        <v>477925770</v>
      </c>
      <c r="D753" s="3" t="s">
        <v>0</v>
      </c>
      <c r="E753" s="2" t="str">
        <f>"0030100119"</f>
        <v>0030100119</v>
      </c>
      <c r="F753" s="5">
        <v>39750</v>
      </c>
      <c r="G753" s="5">
        <v>54789</v>
      </c>
      <c r="H753" s="4" t="str">
        <f>""</f>
        <v/>
      </c>
      <c r="I753" s="4" t="str">
        <f>""</f>
        <v/>
      </c>
    </row>
    <row r="754" spans="1:9" x14ac:dyDescent="0.3">
      <c r="A754" s="1" t="str">
        <f>"27"</f>
        <v>27</v>
      </c>
      <c r="B754" s="4" t="str">
        <f>"RECUP 27"</f>
        <v>RECUP 27</v>
      </c>
      <c r="C754" s="4">
        <v>481106334</v>
      </c>
      <c r="D754" s="3" t="s">
        <v>0</v>
      </c>
      <c r="E754" s="2" t="str">
        <f>"PR2700015D"</f>
        <v>PR2700015D</v>
      </c>
      <c r="F754" s="5">
        <v>41975</v>
      </c>
      <c r="G754" s="5">
        <v>54789</v>
      </c>
      <c r="H754" s="4" t="str">
        <f>""</f>
        <v/>
      </c>
      <c r="I754" s="4" t="str">
        <f>""</f>
        <v/>
      </c>
    </row>
    <row r="755" spans="1:9" x14ac:dyDescent="0.3">
      <c r="A755" s="1" t="str">
        <f>"27"</f>
        <v>27</v>
      </c>
      <c r="B755" s="4" t="str">
        <f>"STE CVO UTILITAIRE"</f>
        <v>STE CVO UTILITAIRE</v>
      </c>
      <c r="C755" s="4">
        <v>481479491</v>
      </c>
      <c r="D755" s="3" t="s">
        <v>0</v>
      </c>
      <c r="E755" s="2" t="str">
        <f>"PR2700037D"</f>
        <v>PR2700037D</v>
      </c>
      <c r="F755" s="5">
        <v>44405</v>
      </c>
      <c r="G755" s="5">
        <v>54789</v>
      </c>
      <c r="H755" s="4" t="str">
        <f>""</f>
        <v/>
      </c>
      <c r="I755" s="4" t="str">
        <f>""</f>
        <v/>
      </c>
    </row>
    <row r="756" spans="1:9" x14ac:dyDescent="0.3">
      <c r="A756" s="1" t="str">
        <f>"27"</f>
        <v>27</v>
      </c>
      <c r="B756" s="4" t="str">
        <f>"STE CVO UTILITAIRE"</f>
        <v>STE CVO UTILITAIRE</v>
      </c>
      <c r="C756" s="4">
        <v>481479491</v>
      </c>
      <c r="D756" s="3" t="s">
        <v>0</v>
      </c>
      <c r="E756" s="2" t="str">
        <f>"0003900965"</f>
        <v>0003900965</v>
      </c>
      <c r="F756" s="5">
        <v>44405</v>
      </c>
      <c r="G756" s="5">
        <v>54789</v>
      </c>
      <c r="H756" s="4" t="str">
        <f>""</f>
        <v/>
      </c>
      <c r="I756" s="4" t="str">
        <f>""</f>
        <v/>
      </c>
    </row>
    <row r="757" spans="1:9" x14ac:dyDescent="0.3">
      <c r="A757" s="1" t="str">
        <f>"27"</f>
        <v>27</v>
      </c>
      <c r="B757" s="4" t="str">
        <f>"SOCIETE CIMETIERE AUTOS"</f>
        <v>SOCIETE CIMETIERE AUTOS</v>
      </c>
      <c r="C757" s="4">
        <v>494014491</v>
      </c>
      <c r="D757" s="3" t="s">
        <v>0</v>
      </c>
      <c r="E757" s="2" t="str">
        <f>"PR2700022D"</f>
        <v>PR2700022D</v>
      </c>
      <c r="F757" s="5">
        <v>42767</v>
      </c>
      <c r="G757" s="5">
        <v>54789</v>
      </c>
      <c r="H757" s="4" t="str">
        <f>""</f>
        <v/>
      </c>
      <c r="I757" s="4" t="str">
        <f>""</f>
        <v/>
      </c>
    </row>
    <row r="758" spans="1:9" x14ac:dyDescent="0.3">
      <c r="A758" s="1" t="str">
        <f>"27"</f>
        <v>27</v>
      </c>
      <c r="B758" s="4" t="str">
        <f>"SOCIETE CIMETIERE AUTOS"</f>
        <v>SOCIETE CIMETIERE AUTOS</v>
      </c>
      <c r="C758" s="4">
        <v>494014491</v>
      </c>
      <c r="D758" s="3" t="s">
        <v>0</v>
      </c>
      <c r="E758" s="2" t="str">
        <f>"0005800950"</f>
        <v>0005800950</v>
      </c>
      <c r="F758" s="5">
        <v>42767</v>
      </c>
      <c r="G758" s="5">
        <v>54789</v>
      </c>
      <c r="H758" s="4" t="str">
        <f>""</f>
        <v/>
      </c>
      <c r="I758" s="4" t="str">
        <f>""</f>
        <v/>
      </c>
    </row>
    <row r="759" spans="1:9" x14ac:dyDescent="0.3">
      <c r="A759" s="1" t="str">
        <f>"27"</f>
        <v>27</v>
      </c>
      <c r="B759" s="4" t="str">
        <f>"SOCIETE BEUZEVILLE RECYCLAGE DEMOLITION MATERIAUX"</f>
        <v>SOCIETE BEUZEVILLE RECYCLAGE DEMOLITION MATERIAUX</v>
      </c>
      <c r="C759" s="4">
        <v>502426588</v>
      </c>
      <c r="D759" s="3" t="s">
        <v>0</v>
      </c>
      <c r="E759" s="2" t="str">
        <f>"PR2700023D"</f>
        <v>PR2700023D</v>
      </c>
      <c r="F759" s="5">
        <v>42796</v>
      </c>
      <c r="G759" s="5">
        <v>54789</v>
      </c>
      <c r="H759" s="4" t="str">
        <f>""</f>
        <v/>
      </c>
      <c r="I759" s="4" t="str">
        <f>""</f>
        <v/>
      </c>
    </row>
    <row r="760" spans="1:9" x14ac:dyDescent="0.3">
      <c r="A760" s="1" t="str">
        <f>"27"</f>
        <v>27</v>
      </c>
      <c r="B760" s="4" t="str">
        <f>"SOCIETE BEUZEVILLE RECYCLAGE DEMOLITION MATERIAUX"</f>
        <v>SOCIETE BEUZEVILLE RECYCLAGE DEMOLITION MATERIAUX</v>
      </c>
      <c r="C760" s="4">
        <v>502426588</v>
      </c>
      <c r="D760" s="3" t="s">
        <v>0</v>
      </c>
      <c r="E760" s="2" t="str">
        <f>"0005804436"</f>
        <v>0005804436</v>
      </c>
      <c r="F760" s="5">
        <v>42796</v>
      </c>
      <c r="G760" s="5">
        <v>54789</v>
      </c>
      <c r="H760" s="4" t="str">
        <f>""</f>
        <v/>
      </c>
      <c r="I760" s="4" t="str">
        <f>""</f>
        <v/>
      </c>
    </row>
    <row r="761" spans="1:9" x14ac:dyDescent="0.3">
      <c r="A761" s="1" t="str">
        <f>"27"</f>
        <v>27</v>
      </c>
      <c r="B761" s="4" t="str">
        <f>"R2M"</f>
        <v>R2M</v>
      </c>
      <c r="C761" s="4">
        <v>502642234</v>
      </c>
      <c r="D761" s="3" t="s">
        <v>0</v>
      </c>
      <c r="E761" s="2" t="str">
        <f>"0100027276"</f>
        <v>0100027276</v>
      </c>
      <c r="F761" s="5">
        <v>45393</v>
      </c>
      <c r="G761" s="5">
        <v>54789</v>
      </c>
      <c r="H761" s="4" t="str">
        <f>""</f>
        <v/>
      </c>
      <c r="I761" s="4" t="str">
        <f>""</f>
        <v/>
      </c>
    </row>
    <row r="762" spans="1:9" x14ac:dyDescent="0.3">
      <c r="A762" s="1" t="str">
        <f>"27"</f>
        <v>27</v>
      </c>
      <c r="B762" s="4" t="str">
        <f>"R2M"</f>
        <v>R2M</v>
      </c>
      <c r="C762" s="4">
        <v>502642234</v>
      </c>
      <c r="D762" s="3" t="s">
        <v>0</v>
      </c>
      <c r="E762" s="2" t="str">
        <f>"PR2700042D"</f>
        <v>PR2700042D</v>
      </c>
      <c r="F762" s="5">
        <v>45393</v>
      </c>
      <c r="G762" s="5">
        <v>54789</v>
      </c>
      <c r="H762" s="4" t="str">
        <f>""</f>
        <v/>
      </c>
      <c r="I762" s="4" t="str">
        <f>""</f>
        <v/>
      </c>
    </row>
    <row r="763" spans="1:9" x14ac:dyDescent="0.3">
      <c r="A763" s="1" t="str">
        <f>"27"</f>
        <v>27</v>
      </c>
      <c r="B763" s="4" t="str">
        <f>"SARL GARAGE DU MANOIR"</f>
        <v>SARL GARAGE DU MANOIR</v>
      </c>
      <c r="C763" s="4">
        <v>504007790</v>
      </c>
      <c r="D763" s="3" t="s">
        <v>0</v>
      </c>
      <c r="E763" s="2" t="str">
        <f>"PR2700027D"</f>
        <v>PR2700027D</v>
      </c>
      <c r="F763" s="5">
        <v>41652</v>
      </c>
      <c r="G763" s="5">
        <v>54789</v>
      </c>
      <c r="H763" s="4" t="str">
        <f>""</f>
        <v/>
      </c>
      <c r="I763" s="4" t="str">
        <f>""</f>
        <v/>
      </c>
    </row>
    <row r="764" spans="1:9" x14ac:dyDescent="0.3">
      <c r="A764" s="1" t="str">
        <f>"27"</f>
        <v>27</v>
      </c>
      <c r="B764" s="4" t="str">
        <f>"SARL GARAGE DU MANOIR"</f>
        <v>SARL GARAGE DU MANOIR</v>
      </c>
      <c r="C764" s="4">
        <v>504007790</v>
      </c>
      <c r="D764" s="3" t="s">
        <v>0</v>
      </c>
      <c r="E764" s="2" t="str">
        <f>"0005802233"</f>
        <v>0005802233</v>
      </c>
      <c r="F764" s="5">
        <v>41652</v>
      </c>
      <c r="G764" s="5">
        <v>54789</v>
      </c>
      <c r="H764" s="4" t="str">
        <f>""</f>
        <v/>
      </c>
      <c r="I764" s="4" t="str">
        <f>""</f>
        <v/>
      </c>
    </row>
    <row r="765" spans="1:9" x14ac:dyDescent="0.3">
      <c r="A765" s="1" t="str">
        <f>"27"</f>
        <v>27</v>
      </c>
      <c r="B765" s="4" t="str">
        <f>"STE DEUTSCH CAR 27"</f>
        <v>STE DEUTSCH CAR 27</v>
      </c>
      <c r="C765" s="4">
        <v>512745217</v>
      </c>
      <c r="D765" s="3" t="s">
        <v>0</v>
      </c>
      <c r="E765" s="2" t="str">
        <f>"PR2700034D"</f>
        <v>PR2700034D</v>
      </c>
      <c r="F765" s="5">
        <v>43445</v>
      </c>
      <c r="G765" s="5">
        <v>54789</v>
      </c>
      <c r="H765" s="4" t="str">
        <f>""</f>
        <v/>
      </c>
      <c r="I765" s="4" t="str">
        <f>""</f>
        <v/>
      </c>
    </row>
    <row r="766" spans="1:9" x14ac:dyDescent="0.3">
      <c r="A766" s="1" t="str">
        <f>"27"</f>
        <v>27</v>
      </c>
      <c r="B766" s="4" t="str">
        <f>"STE DEUTSCH CAR 27"</f>
        <v>STE DEUTSCH CAR 27</v>
      </c>
      <c r="C766" s="4">
        <v>512745217</v>
      </c>
      <c r="D766" s="3" t="s">
        <v>0</v>
      </c>
      <c r="E766" s="2" t="str">
        <f>"0003900307"</f>
        <v>0003900307</v>
      </c>
      <c r="F766" s="5">
        <v>43445</v>
      </c>
      <c r="G766" s="5">
        <v>54789</v>
      </c>
      <c r="H766" s="4" t="str">
        <f>""</f>
        <v/>
      </c>
      <c r="I766" s="4" t="str">
        <f>""</f>
        <v/>
      </c>
    </row>
    <row r="767" spans="1:9" x14ac:dyDescent="0.3">
      <c r="A767" s="1" t="str">
        <f>"27"</f>
        <v>27</v>
      </c>
      <c r="B767" s="4" t="str">
        <f>"STE RECYCL'AUTO 27"</f>
        <v>STE RECYCL'AUTO 27</v>
      </c>
      <c r="C767" s="4">
        <v>529080418</v>
      </c>
      <c r="D767" s="3" t="s">
        <v>0</v>
      </c>
      <c r="E767" s="2" t="str">
        <f>"PR2700024D"</f>
        <v>PR2700024D</v>
      </c>
      <c r="F767" s="5">
        <v>41011</v>
      </c>
      <c r="G767" s="5">
        <v>54789</v>
      </c>
      <c r="H767" s="4" t="str">
        <f>""</f>
        <v/>
      </c>
      <c r="I767" s="4" t="str">
        <f>""</f>
        <v/>
      </c>
    </row>
    <row r="768" spans="1:9" x14ac:dyDescent="0.3">
      <c r="A768" s="1" t="str">
        <f>"27"</f>
        <v>27</v>
      </c>
      <c r="B768" s="4" t="str">
        <f>"SOCIETE R2M"</f>
        <v>SOCIETE R2M</v>
      </c>
      <c r="C768" s="4">
        <v>529080418</v>
      </c>
      <c r="D768" s="3" t="s">
        <v>0</v>
      </c>
      <c r="E768" s="2" t="str">
        <f>"PR2700039D"</f>
        <v>PR2700039D</v>
      </c>
      <c r="F768" s="5">
        <v>44875</v>
      </c>
      <c r="G768" s="5">
        <v>54789</v>
      </c>
      <c r="H768" s="4" t="str">
        <f>""</f>
        <v/>
      </c>
      <c r="I768" s="4" t="str">
        <f>""</f>
        <v/>
      </c>
    </row>
    <row r="769" spans="1:9" x14ac:dyDescent="0.3">
      <c r="A769" s="1" t="str">
        <f>"27"</f>
        <v>27</v>
      </c>
      <c r="B769" s="4" t="str">
        <f>"STE RECYCL'AUTO 27"</f>
        <v>STE RECYCL'AUTO 27</v>
      </c>
      <c r="C769" s="4">
        <v>529080418</v>
      </c>
      <c r="D769" s="3" t="s">
        <v>0</v>
      </c>
      <c r="E769" s="2" t="str">
        <f>"0030100239"</f>
        <v>0030100239</v>
      </c>
      <c r="F769" s="5">
        <v>41011</v>
      </c>
      <c r="G769" s="5">
        <v>54789</v>
      </c>
      <c r="H769" s="4" t="str">
        <f>""</f>
        <v/>
      </c>
      <c r="I769" s="4" t="str">
        <f>""</f>
        <v/>
      </c>
    </row>
    <row r="770" spans="1:9" x14ac:dyDescent="0.3">
      <c r="A770" s="1" t="str">
        <f>"27"</f>
        <v>27</v>
      </c>
      <c r="B770" s="4" t="str">
        <f>"STE DESTRUCTION GAILLON AUTOMOBILE"</f>
        <v>STE DESTRUCTION GAILLON AUTOMOBILE</v>
      </c>
      <c r="C770" s="4">
        <v>539539098</v>
      </c>
      <c r="D770" s="3" t="s">
        <v>0</v>
      </c>
      <c r="E770" s="2" t="str">
        <f>"PR2700035D"</f>
        <v>PR2700035D</v>
      </c>
      <c r="F770" s="5">
        <v>43879</v>
      </c>
      <c r="G770" s="5">
        <v>54789</v>
      </c>
      <c r="H770" s="4" t="str">
        <f>""</f>
        <v/>
      </c>
      <c r="I770" s="4" t="str">
        <f>""</f>
        <v/>
      </c>
    </row>
    <row r="771" spans="1:9" x14ac:dyDescent="0.3">
      <c r="A771" s="1" t="str">
        <f>"27"</f>
        <v>27</v>
      </c>
      <c r="B771" s="4" t="str">
        <f>"STE DESTRUCTION GAILLON AUTOMOBILE"</f>
        <v>STE DESTRUCTION GAILLON AUTOMOBILE</v>
      </c>
      <c r="C771" s="4">
        <v>539539098</v>
      </c>
      <c r="D771" s="3" t="s">
        <v>0</v>
      </c>
      <c r="E771" s="2" t="str">
        <f>"0005802694"</f>
        <v>0005802694</v>
      </c>
      <c r="F771" s="5">
        <v>43879</v>
      </c>
      <c r="G771" s="5">
        <v>54789</v>
      </c>
      <c r="H771" s="4" t="str">
        <f>""</f>
        <v/>
      </c>
      <c r="I771" s="4" t="str">
        <f>""</f>
        <v/>
      </c>
    </row>
    <row r="772" spans="1:9" x14ac:dyDescent="0.3">
      <c r="A772" s="1" t="str">
        <f>"27"</f>
        <v>27</v>
      </c>
      <c r="B772" s="4" t="str">
        <f>"Sté REVIVAL"</f>
        <v>Sté REVIVAL</v>
      </c>
      <c r="C772" s="4">
        <v>616620092</v>
      </c>
      <c r="D772" s="3" t="s">
        <v>0</v>
      </c>
      <c r="E772" s="2" t="str">
        <f>"PR2700033D"</f>
        <v>PR2700033D</v>
      </c>
      <c r="F772" s="5">
        <v>43244</v>
      </c>
      <c r="G772" s="5">
        <v>54789</v>
      </c>
      <c r="H772" s="4" t="str">
        <f>""</f>
        <v/>
      </c>
      <c r="I772" s="4" t="str">
        <f>""</f>
        <v/>
      </c>
    </row>
    <row r="773" spans="1:9" x14ac:dyDescent="0.3">
      <c r="A773" s="1" t="str">
        <f>"27"</f>
        <v>27</v>
      </c>
      <c r="B773" s="4" t="str">
        <f>"STE REVIVAL"</f>
        <v>STE REVIVAL</v>
      </c>
      <c r="C773" s="4">
        <v>616620092</v>
      </c>
      <c r="D773" s="3" t="s">
        <v>0</v>
      </c>
      <c r="E773" s="2" t="str">
        <f>"PR2700041D"</f>
        <v>PR2700041D</v>
      </c>
      <c r="F773" s="5">
        <v>44987</v>
      </c>
      <c r="G773" s="5">
        <v>54789</v>
      </c>
      <c r="H773" s="4" t="str">
        <f>""</f>
        <v/>
      </c>
      <c r="I773" s="4" t="str">
        <f>""</f>
        <v/>
      </c>
    </row>
    <row r="774" spans="1:9" x14ac:dyDescent="0.3">
      <c r="A774" s="1" t="str">
        <f>"27"</f>
        <v>27</v>
      </c>
      <c r="B774" s="4" t="str">
        <f>"STE REVIVAL"</f>
        <v>STE REVIVAL</v>
      </c>
      <c r="C774" s="4">
        <v>616620092</v>
      </c>
      <c r="D774" s="3" t="s">
        <v>0</v>
      </c>
      <c r="E774" s="2" t="str">
        <f>"0005800757"</f>
        <v>0005800757</v>
      </c>
      <c r="F774" s="5">
        <v>44987</v>
      </c>
      <c r="G774" s="5">
        <v>54789</v>
      </c>
      <c r="H774" s="4" t="str">
        <f>""</f>
        <v/>
      </c>
      <c r="I774" s="4" t="str">
        <f>""</f>
        <v/>
      </c>
    </row>
    <row r="775" spans="1:9" x14ac:dyDescent="0.3">
      <c r="A775" s="1" t="str">
        <f>"27"</f>
        <v>27</v>
      </c>
      <c r="B775" s="4" t="str">
        <f>"Sté REVIVAL"</f>
        <v>Sté REVIVAL</v>
      </c>
      <c r="C775" s="4">
        <v>616620092</v>
      </c>
      <c r="D775" s="3" t="s">
        <v>0</v>
      </c>
      <c r="E775" s="2" t="str">
        <f>"0005800939"</f>
        <v>0005800939</v>
      </c>
      <c r="F775" s="5">
        <v>43244</v>
      </c>
      <c r="G775" s="5">
        <v>54789</v>
      </c>
      <c r="H775" s="4" t="str">
        <f>""</f>
        <v/>
      </c>
      <c r="I775" s="4" t="str">
        <f>""</f>
        <v/>
      </c>
    </row>
    <row r="776" spans="1:9" x14ac:dyDescent="0.3">
      <c r="A776" s="1" t="str">
        <f>"27"</f>
        <v>27</v>
      </c>
      <c r="B776" s="4" t="str">
        <f>"GUY DAUPHIN ENVIRONNEMENT"</f>
        <v>GUY DAUPHIN ENVIRONNEMENT</v>
      </c>
      <c r="C776" s="4">
        <v>653820530</v>
      </c>
      <c r="D776" s="3" t="s">
        <v>0</v>
      </c>
      <c r="E776" s="2" t="str">
        <f>"PR2700006D"</f>
        <v>PR2700006D</v>
      </c>
      <c r="F776" s="5">
        <v>41129</v>
      </c>
      <c r="G776" s="5">
        <v>54789</v>
      </c>
      <c r="H776" s="4" t="str">
        <f>""</f>
        <v/>
      </c>
      <c r="I776" s="4" t="str">
        <f>""</f>
        <v/>
      </c>
    </row>
    <row r="777" spans="1:9" x14ac:dyDescent="0.3">
      <c r="A777" s="1" t="str">
        <f>"27"</f>
        <v>27</v>
      </c>
      <c r="B777" s="4" t="str">
        <f>"Sté PRESTOLOC"</f>
        <v>Sté PRESTOLOC</v>
      </c>
      <c r="C777" s="4">
        <v>793815986</v>
      </c>
      <c r="D777" s="3" t="s">
        <v>0</v>
      </c>
      <c r="E777" s="2" t="str">
        <f>"PR2700032D"</f>
        <v>PR2700032D</v>
      </c>
      <c r="F777" s="5">
        <v>43209</v>
      </c>
      <c r="G777" s="5">
        <v>54789</v>
      </c>
      <c r="H777" s="4" t="str">
        <f>""</f>
        <v/>
      </c>
      <c r="I777" s="4" t="str">
        <f>""</f>
        <v/>
      </c>
    </row>
    <row r="778" spans="1:9" x14ac:dyDescent="0.3">
      <c r="A778" s="1" t="str">
        <f>"27"</f>
        <v>27</v>
      </c>
      <c r="B778" s="4" t="str">
        <f>"Sté PRESTOLOC"</f>
        <v>Sté PRESTOLOC</v>
      </c>
      <c r="C778" s="4">
        <v>793815986</v>
      </c>
      <c r="D778" s="3" t="s">
        <v>0</v>
      </c>
      <c r="E778" s="2" t="str">
        <f>"0005801419"</f>
        <v>0005801419</v>
      </c>
      <c r="F778" s="5">
        <v>43209</v>
      </c>
      <c r="G778" s="5">
        <v>54789</v>
      </c>
      <c r="H778" s="4" t="str">
        <f>""</f>
        <v/>
      </c>
      <c r="I778" s="4" t="str">
        <f>""</f>
        <v/>
      </c>
    </row>
    <row r="779" spans="1:9" x14ac:dyDescent="0.3">
      <c r="A779" s="1" t="str">
        <f>"27"</f>
        <v>27</v>
      </c>
      <c r="B779" s="4" t="str">
        <f>"CASS EURE"</f>
        <v>CASS EURE</v>
      </c>
      <c r="C779" s="4">
        <v>797628732</v>
      </c>
      <c r="D779" s="3" t="s">
        <v>0</v>
      </c>
      <c r="E779" s="2" t="str">
        <f>"PR2700028D"</f>
        <v>PR2700028D</v>
      </c>
      <c r="F779" s="5">
        <v>41719</v>
      </c>
      <c r="G779" s="5">
        <v>54789</v>
      </c>
      <c r="H779" s="4" t="str">
        <f>""</f>
        <v/>
      </c>
      <c r="I779" s="4" t="str">
        <f>""</f>
        <v/>
      </c>
    </row>
    <row r="780" spans="1:9" x14ac:dyDescent="0.3">
      <c r="A780" s="1" t="str">
        <f>"27"</f>
        <v>27</v>
      </c>
      <c r="B780" s="4" t="str">
        <f>"CASS EURE"</f>
        <v>CASS EURE</v>
      </c>
      <c r="C780" s="4">
        <v>797628732</v>
      </c>
      <c r="D780" s="3" t="s">
        <v>0</v>
      </c>
      <c r="E780" s="2" t="str">
        <f>"0005802265"</f>
        <v>0005802265</v>
      </c>
      <c r="F780" s="5">
        <v>41719</v>
      </c>
      <c r="G780" s="5">
        <v>54789</v>
      </c>
      <c r="H780" s="4" t="str">
        <f>""</f>
        <v/>
      </c>
      <c r="I780" s="4" t="str">
        <f>""</f>
        <v/>
      </c>
    </row>
    <row r="781" spans="1:9" x14ac:dyDescent="0.3">
      <c r="A781" s="1" t="str">
        <f>"27"</f>
        <v>27</v>
      </c>
      <c r="B781" s="4" t="str">
        <f>"STE BOURDON AUTO"</f>
        <v>STE BOURDON AUTO</v>
      </c>
      <c r="C781" s="4">
        <v>801389347</v>
      </c>
      <c r="D781" s="3" t="s">
        <v>0</v>
      </c>
      <c r="E781" s="2" t="str">
        <f>"PR2700031D"</f>
        <v>PR2700031D</v>
      </c>
      <c r="F781" s="5">
        <v>43076</v>
      </c>
      <c r="G781" s="5">
        <v>54789</v>
      </c>
      <c r="H781" s="4" t="str">
        <f>""</f>
        <v/>
      </c>
      <c r="I781" s="4" t="str">
        <f>""</f>
        <v/>
      </c>
    </row>
    <row r="782" spans="1:9" x14ac:dyDescent="0.3">
      <c r="A782" s="1" t="str">
        <f>"27"</f>
        <v>27</v>
      </c>
      <c r="B782" s="4" t="str">
        <f>"STE BOURDON AUTO"</f>
        <v>STE BOURDON AUTO</v>
      </c>
      <c r="C782" s="4">
        <v>801389347</v>
      </c>
      <c r="D782" s="3" t="s">
        <v>0</v>
      </c>
      <c r="E782" s="2" t="str">
        <f>"0005805906"</f>
        <v>0005805906</v>
      </c>
      <c r="F782" s="5">
        <v>43076</v>
      </c>
      <c r="G782" s="5">
        <v>54789</v>
      </c>
      <c r="H782" s="4" t="str">
        <f>""</f>
        <v/>
      </c>
      <c r="I782" s="4" t="str">
        <f>""</f>
        <v/>
      </c>
    </row>
    <row r="783" spans="1:9" x14ac:dyDescent="0.3">
      <c r="A783" s="1" t="str">
        <f>"27"</f>
        <v>27</v>
      </c>
      <c r="B783" s="4" t="str">
        <f>"STE RECUP AUTO 27"</f>
        <v>STE RECUP AUTO 27</v>
      </c>
      <c r="C783" s="4">
        <v>812943587</v>
      </c>
      <c r="D783" s="3" t="s">
        <v>0</v>
      </c>
      <c r="E783" s="2" t="str">
        <f>"PR2700038D"</f>
        <v>PR2700038D</v>
      </c>
      <c r="F783" s="5">
        <v>44734</v>
      </c>
      <c r="G783" s="5">
        <v>54789</v>
      </c>
      <c r="H783" s="4" t="str">
        <f>""</f>
        <v/>
      </c>
      <c r="I783" s="4" t="str">
        <f>""</f>
        <v/>
      </c>
    </row>
    <row r="784" spans="1:9" x14ac:dyDescent="0.3">
      <c r="A784" s="1" t="str">
        <f>"27"</f>
        <v>27</v>
      </c>
      <c r="B784" s="4" t="str">
        <f>"STE RECUP AUTO 27"</f>
        <v>STE RECUP AUTO 27</v>
      </c>
      <c r="C784" s="4">
        <v>812943587</v>
      </c>
      <c r="D784" s="3" t="s">
        <v>0</v>
      </c>
      <c r="E784" s="2" t="str">
        <f>"0003901952"</f>
        <v>0003901952</v>
      </c>
      <c r="F784" s="5">
        <v>44734</v>
      </c>
      <c r="G784" s="5">
        <v>54789</v>
      </c>
      <c r="H784" s="4" t="str">
        <f>""</f>
        <v/>
      </c>
      <c r="I784" s="4" t="str">
        <f>""</f>
        <v/>
      </c>
    </row>
    <row r="785" spans="1:9" x14ac:dyDescent="0.3">
      <c r="A785" s="1" t="str">
        <f>"27"</f>
        <v>27</v>
      </c>
      <c r="B785" s="4" t="str">
        <f>"STE SEB CASSE"</f>
        <v>STE SEB CASSE</v>
      </c>
      <c r="C785" s="4">
        <v>842020299</v>
      </c>
      <c r="D785" s="3" t="s">
        <v>0</v>
      </c>
      <c r="E785" s="2" t="str">
        <f>"PR2700036D"</f>
        <v>PR2700036D</v>
      </c>
      <c r="F785" s="5">
        <v>44210</v>
      </c>
      <c r="G785" s="5">
        <v>54789</v>
      </c>
      <c r="H785" s="4" t="str">
        <f>""</f>
        <v/>
      </c>
      <c r="I785" s="4" t="str">
        <f>""</f>
        <v/>
      </c>
    </row>
    <row r="786" spans="1:9" x14ac:dyDescent="0.3">
      <c r="A786" s="1" t="str">
        <f>"27"</f>
        <v>27</v>
      </c>
      <c r="B786" s="4" t="str">
        <f>"STE SEB CASSE"</f>
        <v>STE SEB CASSE</v>
      </c>
      <c r="C786" s="4">
        <v>842020299</v>
      </c>
      <c r="D786" s="3" t="s">
        <v>0</v>
      </c>
      <c r="E786" s="2" t="str">
        <f>"0005801070"</f>
        <v>0005801070</v>
      </c>
      <c r="F786" s="5">
        <v>44210</v>
      </c>
      <c r="G786" s="5">
        <v>54789</v>
      </c>
      <c r="H786" s="4" t="str">
        <f>""</f>
        <v/>
      </c>
      <c r="I786" s="4" t="str">
        <f>""</f>
        <v/>
      </c>
    </row>
    <row r="787" spans="1:9" x14ac:dyDescent="0.3">
      <c r="A787" s="1" t="str">
        <f>"27"</f>
        <v>27</v>
      </c>
      <c r="B787" s="4" t="str">
        <f>"STE LESIEUX RECYCLING"</f>
        <v>STE LESIEUX RECYCLING</v>
      </c>
      <c r="C787" s="4">
        <v>911245058</v>
      </c>
      <c r="D787" s="3" t="s">
        <v>0</v>
      </c>
      <c r="E787" s="2" t="str">
        <f>"PR2700040D"</f>
        <v>PR2700040D</v>
      </c>
      <c r="F787" s="5">
        <v>44916</v>
      </c>
      <c r="G787" s="5">
        <v>54789</v>
      </c>
      <c r="H787" s="4" t="str">
        <f>""</f>
        <v/>
      </c>
      <c r="I787" s="4" t="str">
        <f>""</f>
        <v/>
      </c>
    </row>
    <row r="788" spans="1:9" x14ac:dyDescent="0.3">
      <c r="A788" s="1" t="str">
        <f>"27"</f>
        <v>27</v>
      </c>
      <c r="B788" s="4" t="str">
        <f>"LESIEUX RECYCLING"</f>
        <v>LESIEUX RECYCLING</v>
      </c>
      <c r="C788" s="4">
        <v>911245058</v>
      </c>
      <c r="D788" s="3" t="s">
        <v>0</v>
      </c>
      <c r="E788" s="2" t="str">
        <f>"0005803650"</f>
        <v>0005803650</v>
      </c>
      <c r="F788" s="5">
        <v>44916</v>
      </c>
      <c r="G788" s="5">
        <v>54789</v>
      </c>
      <c r="H788" s="4" t="str">
        <f>""</f>
        <v/>
      </c>
      <c r="I788" s="4" t="str">
        <f>""</f>
        <v/>
      </c>
    </row>
    <row r="789" spans="1:9" x14ac:dyDescent="0.3">
      <c r="A789" s="1" t="str">
        <f>"27"</f>
        <v>27</v>
      </c>
      <c r="B789" s="4" t="str">
        <f>"SOCIETE CASSE AUTO ADR"</f>
        <v>SOCIETE CASSE AUTO ADR</v>
      </c>
      <c r="C789" s="4">
        <v>950648469</v>
      </c>
      <c r="D789" s="3" t="s">
        <v>0</v>
      </c>
      <c r="E789" s="2" t="str">
        <f>"PR2700008D"</f>
        <v>PR2700008D</v>
      </c>
      <c r="F789" s="5">
        <v>39013</v>
      </c>
      <c r="G789" s="5">
        <v>54789</v>
      </c>
      <c r="H789" s="4" t="str">
        <f>""</f>
        <v/>
      </c>
      <c r="I789" s="4" t="str">
        <f>""</f>
        <v/>
      </c>
    </row>
    <row r="790" spans="1:9" x14ac:dyDescent="0.3">
      <c r="A790" s="1" t="str">
        <f>"27"</f>
        <v>27</v>
      </c>
      <c r="B790" s="4" t="str">
        <f>"SOCIETE CASSE AUTO ADR"</f>
        <v>SOCIETE CASSE AUTO ADR</v>
      </c>
      <c r="C790" s="4">
        <v>950648469</v>
      </c>
      <c r="D790" s="3" t="s">
        <v>0</v>
      </c>
      <c r="E790" s="2" t="str">
        <f>"0005800819"</f>
        <v>0005800819</v>
      </c>
      <c r="F790" s="5">
        <v>39013</v>
      </c>
      <c r="G790" s="5">
        <v>54789</v>
      </c>
      <c r="H790" s="4" t="str">
        <f>""</f>
        <v/>
      </c>
      <c r="I790" s="4" t="str">
        <f>""</f>
        <v/>
      </c>
    </row>
    <row r="791" spans="1:9" x14ac:dyDescent="0.3">
      <c r="A791" s="1" t="str">
        <f>"28"</f>
        <v>28</v>
      </c>
      <c r="B791" s="4" t="str">
        <f>"ROUX RECUPERATION"</f>
        <v>ROUX RECUPERATION</v>
      </c>
      <c r="C791" s="4">
        <v>323854943</v>
      </c>
      <c r="D791" s="3" t="s">
        <v>0</v>
      </c>
      <c r="E791" s="2" t="str">
        <f>"PR2800015D"</f>
        <v>PR2800015D</v>
      </c>
      <c r="F791" s="5">
        <v>42521</v>
      </c>
      <c r="G791" s="5">
        <v>54789</v>
      </c>
      <c r="H791" s="4" t="str">
        <f>""</f>
        <v/>
      </c>
      <c r="I791" s="4" t="str">
        <f>""</f>
        <v/>
      </c>
    </row>
    <row r="792" spans="1:9" x14ac:dyDescent="0.3">
      <c r="A792" s="1" t="str">
        <f>"28"</f>
        <v>28</v>
      </c>
      <c r="B792" s="4" t="str">
        <f>"ROUX RECUPERATION"</f>
        <v>ROUX RECUPERATION</v>
      </c>
      <c r="C792" s="4">
        <v>323854943</v>
      </c>
      <c r="D792" s="3" t="s">
        <v>0</v>
      </c>
      <c r="E792" s="2" t="str">
        <f>"0010000356"</f>
        <v>0010000356</v>
      </c>
      <c r="F792" s="5">
        <v>42521</v>
      </c>
      <c r="G792" s="5">
        <v>54789</v>
      </c>
      <c r="H792" s="4" t="str">
        <f>""</f>
        <v/>
      </c>
      <c r="I792" s="4" t="str">
        <f>""</f>
        <v/>
      </c>
    </row>
    <row r="793" spans="1:9" x14ac:dyDescent="0.3">
      <c r="A793" s="1" t="str">
        <f>"28"</f>
        <v>28</v>
      </c>
      <c r="B793" s="4" t="str">
        <f>"SARL DEBERNE"</f>
        <v>SARL DEBERNE</v>
      </c>
      <c r="C793" s="4">
        <v>331207175</v>
      </c>
      <c r="D793" s="3" t="s">
        <v>0</v>
      </c>
      <c r="E793" s="2" t="str">
        <f>"PR2800010D"</f>
        <v>PR2800010D</v>
      </c>
      <c r="F793" s="5">
        <v>41733</v>
      </c>
      <c r="G793" s="5">
        <v>54789</v>
      </c>
      <c r="H793" s="4" t="str">
        <f>""</f>
        <v/>
      </c>
      <c r="I793" s="4" t="str">
        <f>""</f>
        <v/>
      </c>
    </row>
    <row r="794" spans="1:9" x14ac:dyDescent="0.3">
      <c r="A794" s="1" t="str">
        <f>"28"</f>
        <v>28</v>
      </c>
      <c r="B794" s="4" t="str">
        <f>"SARL DEBERNE"</f>
        <v>SARL DEBERNE</v>
      </c>
      <c r="C794" s="4">
        <v>331207175</v>
      </c>
      <c r="D794" s="3" t="s">
        <v>0</v>
      </c>
      <c r="E794" s="2" t="str">
        <f>"0010000111"</f>
        <v>0010000111</v>
      </c>
      <c r="F794" s="5">
        <v>41733</v>
      </c>
      <c r="G794" s="5">
        <v>54789</v>
      </c>
      <c r="H794" s="4" t="str">
        <f>""</f>
        <v/>
      </c>
      <c r="I794" s="4" t="str">
        <f>""</f>
        <v/>
      </c>
    </row>
    <row r="795" spans="1:9" x14ac:dyDescent="0.3">
      <c r="A795" s="1" t="str">
        <f>"28"</f>
        <v>28</v>
      </c>
      <c r="B795" s="4" t="str">
        <f>"BULLITT AUTO"</f>
        <v>BULLITT AUTO</v>
      </c>
      <c r="C795" s="4">
        <v>343458774</v>
      </c>
      <c r="D795" s="3" t="s">
        <v>0</v>
      </c>
      <c r="E795" s="2" t="str">
        <f>"PR2800003D"</f>
        <v>PR2800003D</v>
      </c>
      <c r="F795" s="5">
        <v>43252</v>
      </c>
      <c r="G795" s="5">
        <v>54789</v>
      </c>
      <c r="H795" s="4" t="str">
        <f>""</f>
        <v/>
      </c>
      <c r="I795" s="4" t="str">
        <f>""</f>
        <v/>
      </c>
    </row>
    <row r="796" spans="1:9" x14ac:dyDescent="0.3">
      <c r="A796" s="1" t="str">
        <f>"28"</f>
        <v>28</v>
      </c>
      <c r="B796" s="4" t="str">
        <f>"BULLITT AUTO"</f>
        <v>BULLITT AUTO</v>
      </c>
      <c r="C796" s="4">
        <v>343458774</v>
      </c>
      <c r="D796" s="3" t="s">
        <v>0</v>
      </c>
      <c r="E796" s="2" t="str">
        <f>"0010000090"</f>
        <v>0010000090</v>
      </c>
      <c r="F796" s="5">
        <v>43252</v>
      </c>
      <c r="G796" s="5">
        <v>54789</v>
      </c>
      <c r="H796" s="4" t="str">
        <f>""</f>
        <v/>
      </c>
      <c r="I796" s="4" t="str">
        <f>""</f>
        <v/>
      </c>
    </row>
    <row r="797" spans="1:9" x14ac:dyDescent="0.3">
      <c r="A797" s="1" t="str">
        <f>"28"</f>
        <v>28</v>
      </c>
      <c r="B797" s="4" t="str">
        <f>"DYNATECH INDUSTRIES"</f>
        <v>DYNATECH INDUSTRIES</v>
      </c>
      <c r="C797" s="4">
        <v>389376666</v>
      </c>
      <c r="D797" s="3" t="s">
        <v>0</v>
      </c>
      <c r="E797" s="2" t="str">
        <f>"PR2800017D"</f>
        <v>PR2800017D</v>
      </c>
      <c r="F797" s="5">
        <v>40980</v>
      </c>
      <c r="G797" s="5">
        <v>54789</v>
      </c>
      <c r="H797" s="4" t="str">
        <f>""</f>
        <v/>
      </c>
      <c r="I797" s="4" t="str">
        <f>""</f>
        <v/>
      </c>
    </row>
    <row r="798" spans="1:9" x14ac:dyDescent="0.3">
      <c r="A798" s="1" t="str">
        <f>"28"</f>
        <v>28</v>
      </c>
      <c r="B798" s="4" t="str">
        <f>"DYNATECH INDUSTRIES"</f>
        <v>DYNATECH INDUSTRIES</v>
      </c>
      <c r="C798" s="4">
        <v>389376666</v>
      </c>
      <c r="D798" s="3" t="s">
        <v>0</v>
      </c>
      <c r="E798" s="2" t="str">
        <f>"0010000172"</f>
        <v>0010000172</v>
      </c>
      <c r="F798" s="5">
        <v>40980</v>
      </c>
      <c r="G798" s="5">
        <v>54789</v>
      </c>
      <c r="H798" s="4" t="str">
        <f>""</f>
        <v/>
      </c>
      <c r="I798" s="4" t="str">
        <f>""</f>
        <v/>
      </c>
    </row>
    <row r="799" spans="1:9" x14ac:dyDescent="0.3">
      <c r="A799" s="1" t="str">
        <f>"28"</f>
        <v>28</v>
      </c>
      <c r="B799" s="4" t="str">
        <f>"CENTRE AUTO SERVICE"</f>
        <v>CENTRE AUTO SERVICE</v>
      </c>
      <c r="C799" s="4">
        <v>402289805</v>
      </c>
      <c r="D799" s="3" t="s">
        <v>0</v>
      </c>
      <c r="E799" s="2" t="str">
        <f>"PR2800011D"</f>
        <v>PR2800011D</v>
      </c>
      <c r="F799" s="5">
        <v>43670</v>
      </c>
      <c r="G799" s="5">
        <v>54789</v>
      </c>
      <c r="H799" s="4" t="str">
        <f>""</f>
        <v/>
      </c>
      <c r="I799" s="4" t="str">
        <f>""</f>
        <v/>
      </c>
    </row>
    <row r="800" spans="1:9" x14ac:dyDescent="0.3">
      <c r="A800" s="1" t="str">
        <f>"28"</f>
        <v>28</v>
      </c>
      <c r="B800" s="4" t="str">
        <f>"CENTRE AUTO SERVICE"</f>
        <v>CENTRE AUTO SERVICE</v>
      </c>
      <c r="C800" s="4">
        <v>402289805</v>
      </c>
      <c r="D800" s="3" t="s">
        <v>0</v>
      </c>
      <c r="E800" s="2" t="str">
        <f>"0010000109"</f>
        <v>0010000109</v>
      </c>
      <c r="F800" s="5">
        <v>43670</v>
      </c>
      <c r="G800" s="5">
        <v>54789</v>
      </c>
      <c r="H800" s="4" t="str">
        <f>""</f>
        <v/>
      </c>
      <c r="I800" s="4" t="str">
        <f>""</f>
        <v/>
      </c>
    </row>
    <row r="801" spans="1:9" x14ac:dyDescent="0.3">
      <c r="A801" s="1" t="str">
        <f>"28"</f>
        <v>28</v>
      </c>
      <c r="B801" s="4" t="str">
        <f>"PASSENAUD RECYCLAGE"</f>
        <v>PASSENAUD RECYCLAGE</v>
      </c>
      <c r="C801" s="4">
        <v>412242315</v>
      </c>
      <c r="D801" s="3" t="s">
        <v>0</v>
      </c>
      <c r="E801" s="2" t="str">
        <f>"PR2800009D"</f>
        <v>PR2800009D</v>
      </c>
      <c r="F801" s="5">
        <v>43609</v>
      </c>
      <c r="G801" s="5">
        <v>54789</v>
      </c>
      <c r="H801" s="4" t="str">
        <f>""</f>
        <v/>
      </c>
      <c r="I801" s="4" t="str">
        <f>""</f>
        <v/>
      </c>
    </row>
    <row r="802" spans="1:9" x14ac:dyDescent="0.3">
      <c r="A802" s="1" t="str">
        <f>"28"</f>
        <v>28</v>
      </c>
      <c r="B802" s="4" t="str">
        <f>"PASSENAUD RECYCLAGE"</f>
        <v>PASSENAUD RECYCLAGE</v>
      </c>
      <c r="C802" s="4">
        <v>412242315</v>
      </c>
      <c r="D802" s="3" t="s">
        <v>0</v>
      </c>
      <c r="E802" s="2" t="str">
        <f>"0010007117"</f>
        <v>0010007117</v>
      </c>
      <c r="F802" s="5">
        <v>43609</v>
      </c>
      <c r="G802" s="5">
        <v>54789</v>
      </c>
      <c r="H802" s="4" t="str">
        <f>""</f>
        <v/>
      </c>
      <c r="I802" s="4" t="str">
        <f>""</f>
        <v/>
      </c>
    </row>
    <row r="803" spans="1:9" x14ac:dyDescent="0.3">
      <c r="A803" s="1" t="str">
        <f>"28"</f>
        <v>28</v>
      </c>
      <c r="B803" s="4" t="str">
        <f>"GARAGE DU FOURNEAU SARL"</f>
        <v>GARAGE DU FOURNEAU SARL</v>
      </c>
      <c r="C803" s="4">
        <v>437700396</v>
      </c>
      <c r="D803" s="3" t="s">
        <v>0</v>
      </c>
      <c r="E803" s="2" t="str">
        <f>"PR2800002D"</f>
        <v>PR2800002D</v>
      </c>
      <c r="F803" s="5">
        <v>43196</v>
      </c>
      <c r="G803" s="5">
        <v>54789</v>
      </c>
      <c r="H803" s="4" t="str">
        <f>""</f>
        <v/>
      </c>
      <c r="I803" s="4" t="str">
        <f>""</f>
        <v/>
      </c>
    </row>
    <row r="804" spans="1:9" x14ac:dyDescent="0.3">
      <c r="A804" s="1" t="str">
        <f>"28"</f>
        <v>28</v>
      </c>
      <c r="B804" s="4" t="str">
        <f>"GARAGE DU FOURNEAU SARL"</f>
        <v>GARAGE DU FOURNEAU SARL</v>
      </c>
      <c r="C804" s="4">
        <v>437700396</v>
      </c>
      <c r="D804" s="3" t="s">
        <v>0</v>
      </c>
      <c r="E804" s="2" t="str">
        <f>"0010000129"</f>
        <v>0010000129</v>
      </c>
      <c r="F804" s="5">
        <v>43196</v>
      </c>
      <c r="G804" s="5">
        <v>54789</v>
      </c>
      <c r="H804" s="4" t="str">
        <f>""</f>
        <v/>
      </c>
      <c r="I804" s="4" t="str">
        <f>""</f>
        <v/>
      </c>
    </row>
    <row r="805" spans="1:9" x14ac:dyDescent="0.3">
      <c r="A805" s="1" t="str">
        <f>"28"</f>
        <v>28</v>
      </c>
      <c r="B805" s="4" t="str">
        <f>"AUTOCCAZ'"</f>
        <v>AUTOCCAZ'</v>
      </c>
      <c r="C805" s="4">
        <v>517657144</v>
      </c>
      <c r="D805" s="3" t="s">
        <v>0</v>
      </c>
      <c r="E805" s="2" t="str">
        <f>"PR280022D"</f>
        <v>PR280022D</v>
      </c>
      <c r="F805" s="5">
        <v>42569</v>
      </c>
      <c r="G805" s="5">
        <v>54789</v>
      </c>
      <c r="H805" s="4" t="str">
        <f>""</f>
        <v/>
      </c>
      <c r="I805" s="4" t="str">
        <f>""</f>
        <v/>
      </c>
    </row>
    <row r="806" spans="1:9" x14ac:dyDescent="0.3">
      <c r="A806" s="1" t="str">
        <f>"28"</f>
        <v>28</v>
      </c>
      <c r="B806" s="4" t="str">
        <f>"AUTOCCAZ'"</f>
        <v>AUTOCCAZ'</v>
      </c>
      <c r="C806" s="4">
        <v>517657144</v>
      </c>
      <c r="D806" s="3" t="s">
        <v>0</v>
      </c>
      <c r="E806" s="2" t="str">
        <f>"0010012814"</f>
        <v>0010012814</v>
      </c>
      <c r="F806" s="5">
        <v>42569</v>
      </c>
      <c r="G806" s="5">
        <v>54789</v>
      </c>
      <c r="H806" s="4" t="str">
        <f>""</f>
        <v/>
      </c>
      <c r="I806" s="4" t="str">
        <f>""</f>
        <v/>
      </c>
    </row>
    <row r="807" spans="1:9" x14ac:dyDescent="0.3">
      <c r="A807" s="1" t="str">
        <f>"28"</f>
        <v>28</v>
      </c>
      <c r="B807" s="4" t="str">
        <f>"ATLANTIC RECYCL'AUTO"</f>
        <v>ATLANTIC RECYCL'AUTO</v>
      </c>
      <c r="C807" s="4">
        <v>523974756</v>
      </c>
      <c r="D807" s="3" t="s">
        <v>0</v>
      </c>
      <c r="E807" s="2" t="str">
        <f>"PR2800027D"</f>
        <v>PR2800027D</v>
      </c>
      <c r="F807" s="5">
        <v>43509</v>
      </c>
      <c r="G807" s="5">
        <v>54789</v>
      </c>
      <c r="H807" s="4" t="str">
        <f>""</f>
        <v/>
      </c>
      <c r="I807" s="4" t="str">
        <f>""</f>
        <v/>
      </c>
    </row>
    <row r="808" spans="1:9" x14ac:dyDescent="0.3">
      <c r="A808" s="1" t="str">
        <f>"28"</f>
        <v>28</v>
      </c>
      <c r="B808" s="4" t="str">
        <f>"ATLANTIC RECYCL'AUTO"</f>
        <v>ATLANTIC RECYCL'AUTO</v>
      </c>
      <c r="C808" s="4">
        <v>523974756</v>
      </c>
      <c r="D808" s="3" t="s">
        <v>0</v>
      </c>
      <c r="E808" s="2" t="str">
        <f>"0010012189"</f>
        <v>0010012189</v>
      </c>
      <c r="F808" s="5">
        <v>43509</v>
      </c>
      <c r="G808" s="5">
        <v>54789</v>
      </c>
      <c r="H808" s="4" t="str">
        <f>""</f>
        <v/>
      </c>
      <c r="I808" s="4" t="str">
        <f>""</f>
        <v/>
      </c>
    </row>
    <row r="809" spans="1:9" x14ac:dyDescent="0.3">
      <c r="A809" s="1" t="str">
        <f>"28"</f>
        <v>28</v>
      </c>
      <c r="B809" s="4" t="str">
        <f>"REVIVAL"</f>
        <v>REVIVAL</v>
      </c>
      <c r="C809" s="4">
        <v>616620092</v>
      </c>
      <c r="D809" s="3" t="s">
        <v>0</v>
      </c>
      <c r="E809" s="2" t="str">
        <f>"PR2800001D"</f>
        <v>PR2800001D</v>
      </c>
      <c r="F809" s="5">
        <v>43509</v>
      </c>
      <c r="G809" s="5">
        <v>54789</v>
      </c>
      <c r="H809" s="4" t="str">
        <f>""</f>
        <v/>
      </c>
      <c r="I809" s="4" t="str">
        <f>""</f>
        <v/>
      </c>
    </row>
    <row r="810" spans="1:9" x14ac:dyDescent="0.3">
      <c r="A810" s="1" t="str">
        <f>"28"</f>
        <v>28</v>
      </c>
      <c r="B810" s="4" t="str">
        <f>"REVIVAL"</f>
        <v>REVIVAL</v>
      </c>
      <c r="C810" s="4">
        <v>616620092</v>
      </c>
      <c r="D810" s="3" t="s">
        <v>0</v>
      </c>
      <c r="E810" s="2" t="str">
        <f>"0010003884"</f>
        <v>0010003884</v>
      </c>
      <c r="F810" s="5">
        <v>43509</v>
      </c>
      <c r="G810" s="5">
        <v>54789</v>
      </c>
      <c r="H810" s="4" t="str">
        <f>""</f>
        <v/>
      </c>
      <c r="I810" s="4" t="str">
        <f>""</f>
        <v/>
      </c>
    </row>
    <row r="811" spans="1:9" x14ac:dyDescent="0.3">
      <c r="A811" s="1" t="str">
        <f>"28"</f>
        <v>28</v>
      </c>
      <c r="B811" s="4" t="str">
        <f>"VALRECY - Gellainville"</f>
        <v>VALRECY - Gellainville</v>
      </c>
      <c r="C811" s="4">
        <v>616620092</v>
      </c>
      <c r="D811" s="3" t="s">
        <v>0</v>
      </c>
      <c r="E811" s="2" t="str">
        <f>"PR2800013D"</f>
        <v>PR2800013D</v>
      </c>
      <c r="F811" s="5">
        <v>43206</v>
      </c>
      <c r="G811" s="5">
        <v>54789</v>
      </c>
      <c r="H811" s="4" t="str">
        <f>""</f>
        <v/>
      </c>
      <c r="I811" s="4" t="str">
        <f>""</f>
        <v/>
      </c>
    </row>
    <row r="812" spans="1:9" x14ac:dyDescent="0.3">
      <c r="A812" s="1" t="str">
        <f>"28"</f>
        <v>28</v>
      </c>
      <c r="B812" s="4" t="str">
        <f>"VALRECY - Gellainville"</f>
        <v>VALRECY - Gellainville</v>
      </c>
      <c r="C812" s="4">
        <v>616620092</v>
      </c>
      <c r="D812" s="3" t="s">
        <v>0</v>
      </c>
      <c r="E812" s="2" t="str">
        <f>"0010000066"</f>
        <v>0010000066</v>
      </c>
      <c r="F812" s="5">
        <v>43206</v>
      </c>
      <c r="G812" s="5">
        <v>54789</v>
      </c>
      <c r="H812" s="4" t="str">
        <f>""</f>
        <v/>
      </c>
      <c r="I812" s="4" t="str">
        <f>""</f>
        <v/>
      </c>
    </row>
    <row r="813" spans="1:9" x14ac:dyDescent="0.3">
      <c r="A813" s="1" t="str">
        <f>"28"</f>
        <v>28</v>
      </c>
      <c r="B813" s="4" t="str">
        <f>"GROUPE VESSIERE"</f>
        <v>GROUPE VESSIERE</v>
      </c>
      <c r="C813" s="4">
        <v>751599861</v>
      </c>
      <c r="D813" s="3" t="s">
        <v>0</v>
      </c>
      <c r="E813" s="2" t="str">
        <f>"PR2800028D"</f>
        <v>PR2800028D</v>
      </c>
      <c r="F813" s="5">
        <v>43746</v>
      </c>
      <c r="G813" s="5">
        <v>54789</v>
      </c>
      <c r="H813" s="4" t="str">
        <f>""</f>
        <v/>
      </c>
      <c r="I813" s="4" t="str">
        <f>""</f>
        <v/>
      </c>
    </row>
    <row r="814" spans="1:9" x14ac:dyDescent="0.3">
      <c r="A814" s="1" t="str">
        <f>"28"</f>
        <v>28</v>
      </c>
      <c r="B814" s="4" t="str">
        <f>"GROUPE VESSIERE"</f>
        <v>GROUPE VESSIERE</v>
      </c>
      <c r="C814" s="4">
        <v>751599861</v>
      </c>
      <c r="D814" s="3" t="s">
        <v>0</v>
      </c>
      <c r="E814" s="2" t="str">
        <f>"0010000476"</f>
        <v>0010000476</v>
      </c>
      <c r="F814" s="5">
        <v>43746</v>
      </c>
      <c r="G814" s="5">
        <v>54789</v>
      </c>
      <c r="H814" s="4" t="str">
        <f>""</f>
        <v/>
      </c>
      <c r="I814" s="4" t="str">
        <f>""</f>
        <v/>
      </c>
    </row>
    <row r="815" spans="1:9" x14ac:dyDescent="0.3">
      <c r="A815" s="1" t="str">
        <f>"28"</f>
        <v>28</v>
      </c>
      <c r="B815" s="4" t="str">
        <f>"MENUT J"</f>
        <v>MENUT J</v>
      </c>
      <c r="C815" s="4">
        <v>781620059</v>
      </c>
      <c r="D815" s="3" t="s">
        <v>0</v>
      </c>
      <c r="E815" s="2" t="str">
        <f>"PR2800026D"</f>
        <v>PR2800026D</v>
      </c>
      <c r="F815" s="5">
        <v>43453</v>
      </c>
      <c r="G815" s="5">
        <v>54789</v>
      </c>
      <c r="H815" s="4" t="str">
        <f>""</f>
        <v/>
      </c>
      <c r="I815" s="4" t="str">
        <f>""</f>
        <v/>
      </c>
    </row>
    <row r="816" spans="1:9" x14ac:dyDescent="0.3">
      <c r="A816" s="1" t="str">
        <f>"28"</f>
        <v>28</v>
      </c>
      <c r="B816" s="4" t="str">
        <f>"MENUT J"</f>
        <v>MENUT J</v>
      </c>
      <c r="C816" s="4">
        <v>781620059</v>
      </c>
      <c r="D816" s="3" t="s">
        <v>0</v>
      </c>
      <c r="E816" s="2" t="str">
        <f>"0010013446"</f>
        <v>0010013446</v>
      </c>
      <c r="F816" s="5">
        <v>43453</v>
      </c>
      <c r="G816" s="5">
        <v>54789</v>
      </c>
      <c r="H816" s="4" t="str">
        <f>""</f>
        <v/>
      </c>
      <c r="I816" s="4" t="str">
        <f>""</f>
        <v/>
      </c>
    </row>
    <row r="817" spans="1:9" x14ac:dyDescent="0.3">
      <c r="A817" s="1" t="str">
        <f>"28"</f>
        <v>28</v>
      </c>
      <c r="B817" s="4" t="str">
        <f>"LEOPARD AUTOMOBILE"</f>
        <v>LEOPARD AUTOMOBILE</v>
      </c>
      <c r="C817" s="4">
        <v>791091408</v>
      </c>
      <c r="D817" s="3" t="s">
        <v>0</v>
      </c>
      <c r="E817" s="2" t="str">
        <f>"PR280023D"</f>
        <v>PR280023D</v>
      </c>
      <c r="F817" s="5">
        <v>42569</v>
      </c>
      <c r="G817" s="5">
        <v>54789</v>
      </c>
      <c r="H817" s="4" t="str">
        <f>""</f>
        <v/>
      </c>
      <c r="I817" s="4" t="str">
        <f>""</f>
        <v/>
      </c>
    </row>
    <row r="818" spans="1:9" x14ac:dyDescent="0.3">
      <c r="A818" s="1" t="str">
        <f>"28"</f>
        <v>28</v>
      </c>
      <c r="B818" s="4" t="str">
        <f>"LEOPARD AUTOMOBILE"</f>
        <v>LEOPARD AUTOMOBILE</v>
      </c>
      <c r="C818" s="4">
        <v>791091408</v>
      </c>
      <c r="D818" s="3" t="s">
        <v>0</v>
      </c>
      <c r="E818" s="2" t="str">
        <f>"0010012888"</f>
        <v>0010012888</v>
      </c>
      <c r="F818" s="5">
        <v>42569</v>
      </c>
      <c r="G818" s="5">
        <v>54789</v>
      </c>
      <c r="H818" s="4" t="str">
        <f>""</f>
        <v/>
      </c>
      <c r="I818" s="4" t="str">
        <f>""</f>
        <v/>
      </c>
    </row>
    <row r="819" spans="1:9" x14ac:dyDescent="0.3">
      <c r="A819" s="1" t="str">
        <f>"28"</f>
        <v>28</v>
      </c>
      <c r="B819" s="4" t="str">
        <f>"REVIVAL GELLAINVILLE"</f>
        <v>REVIVAL GELLAINVILLE</v>
      </c>
      <c r="C819" s="4">
        <v>802671651</v>
      </c>
      <c r="D819" s="3" t="s">
        <v>0</v>
      </c>
      <c r="E819" s="2" t="str">
        <f>"PR2800005D"</f>
        <v>PR2800005D</v>
      </c>
      <c r="F819" s="5">
        <v>43206</v>
      </c>
      <c r="G819" s="5">
        <v>54789</v>
      </c>
      <c r="H819" s="4" t="str">
        <f>""</f>
        <v/>
      </c>
      <c r="I819" s="4" t="str">
        <f>""</f>
        <v/>
      </c>
    </row>
    <row r="820" spans="1:9" x14ac:dyDescent="0.3">
      <c r="A820" s="1" t="str">
        <f>"28"</f>
        <v>28</v>
      </c>
      <c r="B820" s="4" t="str">
        <f>"REVIVAL GELLAINVILLE"</f>
        <v>REVIVAL GELLAINVILLE</v>
      </c>
      <c r="C820" s="4">
        <v>802671651</v>
      </c>
      <c r="D820" s="3" t="s">
        <v>0</v>
      </c>
      <c r="E820" s="2" t="str">
        <f>"0010000411"</f>
        <v>0010000411</v>
      </c>
      <c r="F820" s="5">
        <v>43206</v>
      </c>
      <c r="G820" s="5">
        <v>54789</v>
      </c>
      <c r="H820" s="4" t="str">
        <f>""</f>
        <v/>
      </c>
      <c r="I820" s="4" t="str">
        <f>""</f>
        <v/>
      </c>
    </row>
    <row r="821" spans="1:9" x14ac:dyDescent="0.3">
      <c r="A821" s="1" t="str">
        <f>"28"</f>
        <v>28</v>
      </c>
      <c r="B821" s="4" t="str">
        <f>"SARL KSK RECYCLAGE"</f>
        <v>SARL KSK RECYCLAGE</v>
      </c>
      <c r="C821" s="4">
        <v>805249257</v>
      </c>
      <c r="D821" s="3" t="s">
        <v>0</v>
      </c>
      <c r="E821" s="2" t="str">
        <f>"PR2800025D"</f>
        <v>PR2800025D</v>
      </c>
      <c r="F821" s="5">
        <v>43248</v>
      </c>
      <c r="G821" s="5">
        <v>54789</v>
      </c>
      <c r="H821" s="4" t="str">
        <f>""</f>
        <v/>
      </c>
      <c r="I821" s="4" t="str">
        <f>""</f>
        <v/>
      </c>
    </row>
    <row r="822" spans="1:9" x14ac:dyDescent="0.3">
      <c r="A822" s="1" t="str">
        <f>"28"</f>
        <v>28</v>
      </c>
      <c r="B822" s="4" t="str">
        <f>"SARL KSK RECYCLAGE"</f>
        <v>SARL KSK RECYCLAGE</v>
      </c>
      <c r="C822" s="4">
        <v>805249257</v>
      </c>
      <c r="D822" s="3" t="s">
        <v>0</v>
      </c>
      <c r="E822" s="2" t="str">
        <f>"0010010409"</f>
        <v>0010010409</v>
      </c>
      <c r="F822" s="5">
        <v>43248</v>
      </c>
      <c r="G822" s="5">
        <v>54789</v>
      </c>
      <c r="H822" s="4" t="str">
        <f>""</f>
        <v/>
      </c>
      <c r="I822" s="4" t="str">
        <f>""</f>
        <v/>
      </c>
    </row>
    <row r="823" spans="1:9" x14ac:dyDescent="0.3">
      <c r="A823" s="1" t="str">
        <f>"28"</f>
        <v>28</v>
      </c>
      <c r="B823" s="4" t="str">
        <f>"DEM S AUTOS CHARTRES"</f>
        <v>DEM S AUTOS CHARTRES</v>
      </c>
      <c r="C823" s="4">
        <v>808526073</v>
      </c>
      <c r="D823" s="3" t="s">
        <v>0</v>
      </c>
      <c r="E823" s="2" t="str">
        <f>"PR2800021D"</f>
        <v>PR2800021D</v>
      </c>
      <c r="F823" s="5">
        <v>43910</v>
      </c>
      <c r="G823" s="5">
        <v>54789</v>
      </c>
      <c r="H823" s="4" t="str">
        <f>""</f>
        <v/>
      </c>
      <c r="I823" s="4" t="str">
        <f>""</f>
        <v/>
      </c>
    </row>
    <row r="824" spans="1:9" x14ac:dyDescent="0.3">
      <c r="A824" s="1" t="str">
        <f>"28"</f>
        <v>28</v>
      </c>
      <c r="B824" s="4" t="str">
        <f>"DEM S AUTOS CHARTRES"</f>
        <v>DEM S AUTOS CHARTRES</v>
      </c>
      <c r="C824" s="4">
        <v>808526073</v>
      </c>
      <c r="D824" s="3" t="s">
        <v>0</v>
      </c>
      <c r="E824" s="2" t="str">
        <f>"0010000059"</f>
        <v>0010000059</v>
      </c>
      <c r="F824" s="5">
        <v>43910</v>
      </c>
      <c r="G824" s="5">
        <v>54789</v>
      </c>
      <c r="H824" s="4" t="str">
        <f>""</f>
        <v/>
      </c>
      <c r="I824" s="4" t="str">
        <f>""</f>
        <v/>
      </c>
    </row>
    <row r="825" spans="1:9" x14ac:dyDescent="0.3">
      <c r="A825" s="1" t="str">
        <f>"28"</f>
        <v>28</v>
      </c>
      <c r="B825" s="4" t="str">
        <f>"GAZI CASSE AUTO"</f>
        <v>GAZI CASSE AUTO</v>
      </c>
      <c r="C825" s="4">
        <v>827694837</v>
      </c>
      <c r="D825" s="3" t="s">
        <v>0</v>
      </c>
      <c r="E825" s="2" t="str">
        <f>"PR2800024D"</f>
        <v>PR2800024D</v>
      </c>
      <c r="F825" s="5">
        <v>43080</v>
      </c>
      <c r="G825" s="5">
        <v>54789</v>
      </c>
      <c r="H825" s="4" t="str">
        <f>""</f>
        <v/>
      </c>
      <c r="I825" s="4" t="str">
        <f>""</f>
        <v/>
      </c>
    </row>
    <row r="826" spans="1:9" x14ac:dyDescent="0.3">
      <c r="A826" s="1" t="str">
        <f>"28"</f>
        <v>28</v>
      </c>
      <c r="B826" s="4" t="str">
        <f>"GAZI CASSE AUTO"</f>
        <v>GAZI CASSE AUTO</v>
      </c>
      <c r="C826" s="4">
        <v>827694837</v>
      </c>
      <c r="D826" s="3" t="s">
        <v>0</v>
      </c>
      <c r="E826" s="2" t="str">
        <f>"0010000354"</f>
        <v>0010000354</v>
      </c>
      <c r="F826" s="5">
        <v>43080</v>
      </c>
      <c r="G826" s="5">
        <v>54789</v>
      </c>
      <c r="H826" s="4" t="str">
        <f>""</f>
        <v/>
      </c>
      <c r="I826" s="4" t="str">
        <f>""</f>
        <v/>
      </c>
    </row>
    <row r="827" spans="1:9" x14ac:dyDescent="0.3">
      <c r="A827" s="1" t="str">
        <f>"28"</f>
        <v>28</v>
      </c>
      <c r="B827" s="4" t="str">
        <f>"ROMMEL RECYCLAGE VALORISATION"</f>
        <v>ROMMEL RECYCLAGE VALORISATION</v>
      </c>
      <c r="C827" s="4">
        <v>895250405</v>
      </c>
      <c r="D827" s="3" t="s">
        <v>0</v>
      </c>
      <c r="E827" s="2" t="str">
        <f>"PR2800007D"</f>
        <v>PR2800007D</v>
      </c>
      <c r="F827" s="5">
        <v>45611</v>
      </c>
      <c r="G827" s="5">
        <v>54789</v>
      </c>
      <c r="H827" s="4" t="str">
        <f>""</f>
        <v/>
      </c>
      <c r="I827" s="4" t="str">
        <f>""</f>
        <v/>
      </c>
    </row>
    <row r="828" spans="1:9" x14ac:dyDescent="0.3">
      <c r="A828" s="1" t="str">
        <f>"28"</f>
        <v>28</v>
      </c>
      <c r="B828" s="4" t="str">
        <f>"ROMMEL RECYCLAGE VALORISATION"</f>
        <v>ROMMEL RECYCLAGE VALORISATION</v>
      </c>
      <c r="C828" s="4">
        <v>895250405</v>
      </c>
      <c r="D828" s="3" t="s">
        <v>0</v>
      </c>
      <c r="E828" s="2" t="str">
        <f>"0010000156"</f>
        <v>0010000156</v>
      </c>
      <c r="F828" s="5">
        <v>45611</v>
      </c>
      <c r="G828" s="5">
        <v>54789</v>
      </c>
      <c r="H828" s="4" t="str">
        <f>""</f>
        <v/>
      </c>
      <c r="I828" s="4" t="str">
        <f>""</f>
        <v/>
      </c>
    </row>
    <row r="829" spans="1:9" x14ac:dyDescent="0.3">
      <c r="A829" s="1" t="str">
        <f>"29"</f>
        <v>29</v>
      </c>
      <c r="B829" s="4" t="str">
        <f>"HYPER AUTO"</f>
        <v>HYPER AUTO</v>
      </c>
      <c r="C829" s="4">
        <v>325664639</v>
      </c>
      <c r="D829" s="3" t="s">
        <v>0</v>
      </c>
      <c r="E829" s="2" t="str">
        <f>"PR2900001D"</f>
        <v>PR2900001D</v>
      </c>
      <c r="F829" s="5">
        <v>38881</v>
      </c>
      <c r="G829" s="5">
        <v>54789</v>
      </c>
      <c r="H829" s="4" t="str">
        <f>""</f>
        <v/>
      </c>
      <c r="I829" s="4" t="str">
        <f>""</f>
        <v/>
      </c>
    </row>
    <row r="830" spans="1:9" x14ac:dyDescent="0.3">
      <c r="A830" s="1" t="str">
        <f>"29"</f>
        <v>29</v>
      </c>
      <c r="B830" s="4" t="str">
        <f>"HYPER AUTO"</f>
        <v>HYPER AUTO</v>
      </c>
      <c r="C830" s="4">
        <v>325664639</v>
      </c>
      <c r="D830" s="3" t="s">
        <v>0</v>
      </c>
      <c r="E830" s="2" t="str">
        <f>"0005500833"</f>
        <v>0005500833</v>
      </c>
      <c r="F830" s="5">
        <v>38881</v>
      </c>
      <c r="G830" s="5">
        <v>54789</v>
      </c>
      <c r="H830" s="4" t="str">
        <f>""</f>
        <v/>
      </c>
      <c r="I830" s="4" t="str">
        <f>""</f>
        <v/>
      </c>
    </row>
    <row r="831" spans="1:9" x14ac:dyDescent="0.3">
      <c r="A831" s="1" t="str">
        <f>"29"</f>
        <v>29</v>
      </c>
      <c r="B831" s="4" t="str">
        <f>"GUYOT ENVIRONNEMENT BREST"</f>
        <v>GUYOT ENVIRONNEMENT BREST</v>
      </c>
      <c r="C831" s="4">
        <v>334652922</v>
      </c>
      <c r="D831" s="3" t="s">
        <v>0</v>
      </c>
      <c r="E831" s="2" t="str">
        <f>"PR2900002B"</f>
        <v>PR2900002B</v>
      </c>
      <c r="F831" s="5">
        <v>41110</v>
      </c>
      <c r="G831" s="5">
        <v>54789</v>
      </c>
      <c r="H831" s="4" t="str">
        <f>""</f>
        <v/>
      </c>
      <c r="I831" s="4" t="str">
        <f>""</f>
        <v/>
      </c>
    </row>
    <row r="832" spans="1:9" x14ac:dyDescent="0.3">
      <c r="A832" s="1" t="str">
        <f>"29"</f>
        <v>29</v>
      </c>
      <c r="B832" s="4" t="str">
        <f>"GUYOT ENVIRONNEMENT BREST"</f>
        <v>GUYOT ENVIRONNEMENT BREST</v>
      </c>
      <c r="C832" s="4">
        <v>334652922</v>
      </c>
      <c r="D832" s="3" t="s">
        <v>0</v>
      </c>
      <c r="E832" s="2" t="str">
        <f>"0005500557"</f>
        <v>0005500557</v>
      </c>
      <c r="F832" s="5">
        <v>41110</v>
      </c>
      <c r="G832" s="5">
        <v>54789</v>
      </c>
      <c r="H832" s="4" t="str">
        <f>""</f>
        <v/>
      </c>
      <c r="I832" s="4" t="str">
        <f>""</f>
        <v/>
      </c>
    </row>
    <row r="833" spans="1:9" x14ac:dyDescent="0.3">
      <c r="A833" s="1" t="str">
        <f>"29"</f>
        <v>29</v>
      </c>
      <c r="B833" s="4" t="str">
        <f>"RECUPERATION BRETONNE"</f>
        <v>RECUPERATION BRETONNE</v>
      </c>
      <c r="C833" s="4">
        <v>338516370</v>
      </c>
      <c r="D833" s="3" t="s">
        <v>0</v>
      </c>
      <c r="E833" s="2" t="str">
        <f>"PR2900026D"</f>
        <v>PR2900026D</v>
      </c>
      <c r="F833" s="5">
        <v>43633</v>
      </c>
      <c r="G833" s="5">
        <v>54789</v>
      </c>
      <c r="H833" s="4" t="str">
        <f>""</f>
        <v/>
      </c>
      <c r="I833" s="4" t="str">
        <f>""</f>
        <v/>
      </c>
    </row>
    <row r="834" spans="1:9" x14ac:dyDescent="0.3">
      <c r="A834" s="1" t="str">
        <f>"29"</f>
        <v>29</v>
      </c>
      <c r="B834" s="4" t="str">
        <f>"RECUPERATION BRETONNE"</f>
        <v>RECUPERATION BRETONNE</v>
      </c>
      <c r="C834" s="4">
        <v>338516370</v>
      </c>
      <c r="D834" s="3" t="s">
        <v>0</v>
      </c>
      <c r="E834" s="2" t="str">
        <f>"0005503436"</f>
        <v>0005503436</v>
      </c>
      <c r="F834" s="5">
        <v>43633</v>
      </c>
      <c r="G834" s="5">
        <v>54789</v>
      </c>
      <c r="H834" s="4" t="str">
        <f>""</f>
        <v/>
      </c>
      <c r="I834" s="4" t="str">
        <f>""</f>
        <v/>
      </c>
    </row>
    <row r="835" spans="1:9" x14ac:dyDescent="0.3">
      <c r="A835" s="1" t="str">
        <f>"29"</f>
        <v>29</v>
      </c>
      <c r="B835" s="4" t="str">
        <f>"ARMOR AUTO CASSE LE TALLEC"</f>
        <v>ARMOR AUTO CASSE LE TALLEC</v>
      </c>
      <c r="C835" s="4">
        <v>351550983</v>
      </c>
      <c r="D835" s="3" t="s">
        <v>0</v>
      </c>
      <c r="E835" s="2" t="str">
        <f>"PR2900004D"</f>
        <v>PR2900004D</v>
      </c>
      <c r="F835" s="5">
        <v>38981</v>
      </c>
      <c r="G835" s="5">
        <v>54789</v>
      </c>
      <c r="H835" s="4" t="str">
        <f>""</f>
        <v/>
      </c>
      <c r="I835" s="4" t="str">
        <f>""</f>
        <v/>
      </c>
    </row>
    <row r="836" spans="1:9" x14ac:dyDescent="0.3">
      <c r="A836" s="1" t="str">
        <f>"29"</f>
        <v>29</v>
      </c>
      <c r="B836" s="4" t="str">
        <f>"ARMOR AUTO CASSE LE TALLEC"</f>
        <v>ARMOR AUTO CASSE LE TALLEC</v>
      </c>
      <c r="C836" s="4">
        <v>351550983</v>
      </c>
      <c r="D836" s="3" t="s">
        <v>0</v>
      </c>
      <c r="E836" s="2" t="str">
        <f>"0005500947"</f>
        <v>0005500947</v>
      </c>
      <c r="F836" s="5">
        <v>38981</v>
      </c>
      <c r="G836" s="5">
        <v>54789</v>
      </c>
      <c r="H836" s="4" t="str">
        <f>""</f>
        <v/>
      </c>
      <c r="I836" s="4" t="str">
        <f>""</f>
        <v/>
      </c>
    </row>
    <row r="837" spans="1:9" x14ac:dyDescent="0.3">
      <c r="A837" s="1" t="str">
        <f>"29"</f>
        <v>29</v>
      </c>
      <c r="B837" s="4" t="str">
        <f>"AC STARTER"</f>
        <v>AC STARTER</v>
      </c>
      <c r="C837" s="4">
        <v>351579867</v>
      </c>
      <c r="D837" s="3" t="s">
        <v>0</v>
      </c>
      <c r="E837" s="2" t="str">
        <f>"PR2900011D"</f>
        <v>PR2900011D</v>
      </c>
      <c r="F837" s="5">
        <v>39072</v>
      </c>
      <c r="G837" s="5">
        <v>54789</v>
      </c>
      <c r="H837" s="4" t="str">
        <f>""</f>
        <v/>
      </c>
      <c r="I837" s="4" t="str">
        <f>""</f>
        <v/>
      </c>
    </row>
    <row r="838" spans="1:9" x14ac:dyDescent="0.3">
      <c r="A838" s="1" t="str">
        <f>"29"</f>
        <v>29</v>
      </c>
      <c r="B838" s="4" t="str">
        <f>"AC STARTER"</f>
        <v>AC STARTER</v>
      </c>
      <c r="C838" s="4">
        <v>351579867</v>
      </c>
      <c r="D838" s="3" t="s">
        <v>0</v>
      </c>
      <c r="E838" s="2" t="str">
        <f>"0005514448"</f>
        <v>0005514448</v>
      </c>
      <c r="F838" s="5">
        <v>39072</v>
      </c>
      <c r="G838" s="5">
        <v>54789</v>
      </c>
      <c r="H838" s="4" t="str">
        <f>""</f>
        <v/>
      </c>
      <c r="I838" s="4" t="str">
        <f>""</f>
        <v/>
      </c>
    </row>
    <row r="839" spans="1:9" x14ac:dyDescent="0.3">
      <c r="A839" s="1" t="str">
        <f>"29"</f>
        <v>29</v>
      </c>
      <c r="B839" s="4" t="str">
        <f>"GUYOT ENVIRONNEMENT QUIMPER"</f>
        <v>GUYOT ENVIRONNEMENT QUIMPER</v>
      </c>
      <c r="C839" s="4">
        <v>377927934</v>
      </c>
      <c r="D839" s="3" t="s">
        <v>0</v>
      </c>
      <c r="E839" s="2" t="str">
        <f>"PR2900024D"</f>
        <v>PR2900024D</v>
      </c>
      <c r="F839" s="5">
        <v>43425</v>
      </c>
      <c r="G839" s="5">
        <v>54789</v>
      </c>
      <c r="H839" s="4" t="str">
        <f>""</f>
        <v/>
      </c>
      <c r="I839" s="4" t="str">
        <f>""</f>
        <v/>
      </c>
    </row>
    <row r="840" spans="1:9" x14ac:dyDescent="0.3">
      <c r="A840" s="1" t="str">
        <f>"29"</f>
        <v>29</v>
      </c>
      <c r="B840" s="4" t="str">
        <f>"GUYOT ENVIRONNEMENT QUIMPER"</f>
        <v>GUYOT ENVIRONNEMENT QUIMPER</v>
      </c>
      <c r="C840" s="4">
        <v>377927934</v>
      </c>
      <c r="D840" s="3" t="s">
        <v>0</v>
      </c>
      <c r="E840" s="2" t="str">
        <f>"0005501156"</f>
        <v>0005501156</v>
      </c>
      <c r="F840" s="5">
        <v>43425</v>
      </c>
      <c r="G840" s="5">
        <v>54789</v>
      </c>
      <c r="H840" s="4" t="str">
        <f>""</f>
        <v/>
      </c>
      <c r="I840" s="4" t="str">
        <f>""</f>
        <v/>
      </c>
    </row>
    <row r="841" spans="1:9" x14ac:dyDescent="0.3">
      <c r="A841" s="1" t="str">
        <f>"29"</f>
        <v>29</v>
      </c>
      <c r="B841" s="4" t="str">
        <f>"S.A.R.L. LANNEVAL"</f>
        <v>S.A.R.L. LANNEVAL</v>
      </c>
      <c r="C841" s="4">
        <v>382361806</v>
      </c>
      <c r="D841" s="3" t="s">
        <v>0</v>
      </c>
      <c r="E841" s="2" t="str">
        <f>"PR2900015D"</f>
        <v>PR2900015D</v>
      </c>
      <c r="F841" s="5">
        <v>43603</v>
      </c>
      <c r="G841" s="5">
        <v>54789</v>
      </c>
      <c r="H841" s="4" t="str">
        <f>""</f>
        <v/>
      </c>
      <c r="I841" s="4" t="str">
        <f>""</f>
        <v/>
      </c>
    </row>
    <row r="842" spans="1:9" x14ac:dyDescent="0.3">
      <c r="A842" s="1" t="str">
        <f>"29"</f>
        <v>29</v>
      </c>
      <c r="B842" s="4" t="str">
        <f>"S.A.R.L. LANNEVAL"</f>
        <v>S.A.R.L. LANNEVAL</v>
      </c>
      <c r="C842" s="4">
        <v>382361806</v>
      </c>
      <c r="D842" s="3" t="s">
        <v>0</v>
      </c>
      <c r="E842" s="2" t="str">
        <f>"0005501035"</f>
        <v>0005501035</v>
      </c>
      <c r="F842" s="5">
        <v>43603</v>
      </c>
      <c r="G842" s="5">
        <v>54789</v>
      </c>
      <c r="H842" s="4" t="str">
        <f>""</f>
        <v/>
      </c>
      <c r="I842" s="4" t="str">
        <f>""</f>
        <v/>
      </c>
    </row>
    <row r="843" spans="1:9" x14ac:dyDescent="0.3">
      <c r="A843" s="1" t="str">
        <f>"29"</f>
        <v>29</v>
      </c>
      <c r="B843" s="4" t="str">
        <f>"AFM RECYCLAGE"</f>
        <v>AFM RECYCLAGE</v>
      </c>
      <c r="C843" s="4">
        <v>383482635</v>
      </c>
      <c r="D843" s="3" t="s">
        <v>0</v>
      </c>
      <c r="E843" s="2" t="str">
        <f>"PR2900025D"</f>
        <v>PR2900025D</v>
      </c>
      <c r="F843" s="5">
        <v>43386</v>
      </c>
      <c r="G843" s="5">
        <v>54789</v>
      </c>
      <c r="H843" s="4" t="str">
        <f>""</f>
        <v/>
      </c>
      <c r="I843" s="4" t="str">
        <f>""</f>
        <v/>
      </c>
    </row>
    <row r="844" spans="1:9" x14ac:dyDescent="0.3">
      <c r="A844" s="1" t="str">
        <f>"29"</f>
        <v>29</v>
      </c>
      <c r="B844" s="4" t="str">
        <f>"AFM RECYCLAGE"</f>
        <v>AFM RECYCLAGE</v>
      </c>
      <c r="C844" s="4">
        <v>383482635</v>
      </c>
      <c r="D844" s="3" t="s">
        <v>0</v>
      </c>
      <c r="E844" s="2" t="str">
        <f>"0005500619"</f>
        <v>0005500619</v>
      </c>
      <c r="F844" s="5">
        <v>43386</v>
      </c>
      <c r="G844" s="5">
        <v>54789</v>
      </c>
      <c r="H844" s="4" t="str">
        <f>""</f>
        <v/>
      </c>
      <c r="I844" s="4" t="str">
        <f>""</f>
        <v/>
      </c>
    </row>
    <row r="845" spans="1:9" x14ac:dyDescent="0.3">
      <c r="A845" s="1" t="str">
        <f>"29"</f>
        <v>29</v>
      </c>
      <c r="B845" s="4" t="str">
        <f>"BREIZ REMORQUAGES"</f>
        <v>BREIZ REMORQUAGES</v>
      </c>
      <c r="C845" s="4">
        <v>391329844</v>
      </c>
      <c r="D845" s="3" t="s">
        <v>0</v>
      </c>
      <c r="E845" s="2" t="str">
        <f>"PR2900007D"</f>
        <v>PR2900007D</v>
      </c>
      <c r="F845" s="5">
        <v>39058</v>
      </c>
      <c r="G845" s="5">
        <v>54789</v>
      </c>
      <c r="H845" s="4" t="str">
        <f>""</f>
        <v/>
      </c>
      <c r="I845" s="4" t="str">
        <f>""</f>
        <v/>
      </c>
    </row>
    <row r="846" spans="1:9" x14ac:dyDescent="0.3">
      <c r="A846" s="1" t="str">
        <f>"29"</f>
        <v>29</v>
      </c>
      <c r="B846" s="4" t="str">
        <f>"BREIZ REMORQUAGES"</f>
        <v>BREIZ REMORQUAGES</v>
      </c>
      <c r="C846" s="4">
        <v>391329844</v>
      </c>
      <c r="D846" s="3" t="s">
        <v>0</v>
      </c>
      <c r="E846" s="2" t="str">
        <f>"0005514346"</f>
        <v>0005514346</v>
      </c>
      <c r="F846" s="5">
        <v>39058</v>
      </c>
      <c r="G846" s="5">
        <v>54789</v>
      </c>
      <c r="H846" s="4" t="str">
        <f>""</f>
        <v/>
      </c>
      <c r="I846" s="4" t="str">
        <f>""</f>
        <v/>
      </c>
    </row>
    <row r="847" spans="1:9" x14ac:dyDescent="0.3">
      <c r="A847" s="1" t="str">
        <f>"29"</f>
        <v>29</v>
      </c>
      <c r="B847" s="4" t="str">
        <f>"J.C.L.B."</f>
        <v>J.C.L.B.</v>
      </c>
      <c r="C847" s="4">
        <v>394078513</v>
      </c>
      <c r="D847" s="3" t="s">
        <v>0</v>
      </c>
      <c r="E847" s="2" t="str">
        <f>"PR2900008D"</f>
        <v>PR2900008D</v>
      </c>
      <c r="F847" s="5">
        <v>43650</v>
      </c>
      <c r="G847" s="5">
        <v>54789</v>
      </c>
      <c r="H847" s="4" t="str">
        <f>""</f>
        <v/>
      </c>
      <c r="I847" s="4" t="str">
        <f>""</f>
        <v/>
      </c>
    </row>
    <row r="848" spans="1:9" x14ac:dyDescent="0.3">
      <c r="A848" s="1" t="str">
        <f>"29"</f>
        <v>29</v>
      </c>
      <c r="B848" s="4" t="str">
        <f>"J.C.L.B."</f>
        <v>J.C.L.B.</v>
      </c>
      <c r="C848" s="4">
        <v>394078513</v>
      </c>
      <c r="D848" s="3" t="s">
        <v>0</v>
      </c>
      <c r="E848" s="2" t="str">
        <f>"0005500768"</f>
        <v>0005500768</v>
      </c>
      <c r="F848" s="5">
        <v>43650</v>
      </c>
      <c r="G848" s="5">
        <v>54789</v>
      </c>
      <c r="H848" s="4" t="str">
        <f>""</f>
        <v/>
      </c>
      <c r="I848" s="4" t="str">
        <f>""</f>
        <v/>
      </c>
    </row>
    <row r="849" spans="1:9" x14ac:dyDescent="0.3">
      <c r="A849" s="1" t="str">
        <f>"29"</f>
        <v>29</v>
      </c>
      <c r="B849" s="4" t="str">
        <f>"SARL RECUPERATION METALLURGIQUE BRETONNE"</f>
        <v>SARL RECUPERATION METALLURGIQUE BRETONNE</v>
      </c>
      <c r="C849" s="4">
        <v>397765165</v>
      </c>
      <c r="D849" s="3" t="s">
        <v>0</v>
      </c>
      <c r="E849" s="2" t="str">
        <f>"PR2900023D"</f>
        <v>PR2900023D</v>
      </c>
      <c r="F849" s="5">
        <v>40820</v>
      </c>
      <c r="G849" s="5">
        <v>54789</v>
      </c>
      <c r="H849" s="4" t="str">
        <f>""</f>
        <v/>
      </c>
      <c r="I849" s="4" t="str">
        <f>""</f>
        <v/>
      </c>
    </row>
    <row r="850" spans="1:9" x14ac:dyDescent="0.3">
      <c r="A850" s="1" t="str">
        <f>"29"</f>
        <v>29</v>
      </c>
      <c r="B850" s="4" t="str">
        <f>"SARL RECUPERATION METALLURGIQUE BRETONNE"</f>
        <v>SARL RECUPERATION METALLURGIQUE BRETONNE</v>
      </c>
      <c r="C850" s="4">
        <v>397765165</v>
      </c>
      <c r="D850" s="3" t="s">
        <v>0</v>
      </c>
      <c r="E850" s="2" t="str">
        <f>"0005501076"</f>
        <v>0005501076</v>
      </c>
      <c r="F850" s="5">
        <v>40820</v>
      </c>
      <c r="G850" s="5">
        <v>54789</v>
      </c>
      <c r="H850" s="4" t="str">
        <f>""</f>
        <v/>
      </c>
      <c r="I850" s="4" t="str">
        <f>""</f>
        <v/>
      </c>
    </row>
    <row r="851" spans="1:9" x14ac:dyDescent="0.3">
      <c r="A851" s="1" t="str">
        <f>"29"</f>
        <v>29</v>
      </c>
      <c r="B851" s="4" t="str">
        <f>""</f>
        <v/>
      </c>
      <c r="C851" s="4">
        <v>400508768</v>
      </c>
      <c r="D851" s="3" t="s">
        <v>0</v>
      </c>
      <c r="E851" s="2" t="str">
        <f>"PR2900005D"</f>
        <v>PR2900005D</v>
      </c>
      <c r="F851" s="5">
        <v>38982</v>
      </c>
      <c r="G851" s="5">
        <v>54789</v>
      </c>
      <c r="H851" s="4" t="str">
        <f>"LE MOAL "</f>
        <v xml:space="preserve">LE MOAL </v>
      </c>
      <c r="I851" s="4" t="str">
        <f>"LUCAS"</f>
        <v>LUCAS</v>
      </c>
    </row>
    <row r="852" spans="1:9" x14ac:dyDescent="0.3">
      <c r="A852" s="1" t="str">
        <f>"29"</f>
        <v>29</v>
      </c>
      <c r="B852" s="4" t="str">
        <f>""</f>
        <v/>
      </c>
      <c r="C852" s="4">
        <v>400508768</v>
      </c>
      <c r="D852" s="3" t="s">
        <v>0</v>
      </c>
      <c r="E852" s="2" t="str">
        <f>"0005508400"</f>
        <v>0005508400</v>
      </c>
      <c r="F852" s="5">
        <v>38982</v>
      </c>
      <c r="G852" s="5">
        <v>54789</v>
      </c>
      <c r="H852" s="4" t="str">
        <f>"LE MOAL "</f>
        <v xml:space="preserve">LE MOAL </v>
      </c>
      <c r="I852" s="4" t="str">
        <f>"LUCAS"</f>
        <v>LUCAS</v>
      </c>
    </row>
    <row r="853" spans="1:9" x14ac:dyDescent="0.3">
      <c r="A853" s="1" t="str">
        <f>"29"</f>
        <v>29</v>
      </c>
      <c r="B853" s="4" t="str">
        <f>"GUYOT ENVIRONNEMENT"</f>
        <v>GUYOT ENVIRONNEMENT</v>
      </c>
      <c r="C853" s="4">
        <v>430004671</v>
      </c>
      <c r="D853" s="3" t="s">
        <v>0</v>
      </c>
      <c r="E853" s="2" t="str">
        <f>"PR2900027D"</f>
        <v>PR2900027D</v>
      </c>
      <c r="F853" s="5">
        <v>44109</v>
      </c>
      <c r="G853" s="5">
        <v>54789</v>
      </c>
      <c r="H853" s="4" t="str">
        <f>""</f>
        <v/>
      </c>
      <c r="I853" s="4" t="str">
        <f>""</f>
        <v/>
      </c>
    </row>
    <row r="854" spans="1:9" x14ac:dyDescent="0.3">
      <c r="A854" s="1" t="str">
        <f>"29"</f>
        <v>29</v>
      </c>
      <c r="B854" s="4" t="str">
        <f>"GUYOT ENVIRONNEMENT"</f>
        <v>GUYOT ENVIRONNEMENT</v>
      </c>
      <c r="C854" s="4">
        <v>430004671</v>
      </c>
      <c r="D854" s="3" t="s">
        <v>0</v>
      </c>
      <c r="E854" s="2" t="str">
        <f>"0005507357"</f>
        <v>0005507357</v>
      </c>
      <c r="F854" s="5">
        <v>44109</v>
      </c>
      <c r="G854" s="5">
        <v>54789</v>
      </c>
      <c r="H854" s="4" t="str">
        <f>""</f>
        <v/>
      </c>
      <c r="I854" s="4" t="str">
        <f>""</f>
        <v/>
      </c>
    </row>
    <row r="855" spans="1:9" x14ac:dyDescent="0.3">
      <c r="A855" s="1" t="str">
        <f>"29"</f>
        <v>29</v>
      </c>
      <c r="B855" s="4" t="str">
        <f>"GARAGE BOULANGER THIERRY"</f>
        <v>GARAGE BOULANGER THIERRY</v>
      </c>
      <c r="C855" s="4">
        <v>434188611</v>
      </c>
      <c r="D855" s="3" t="s">
        <v>0</v>
      </c>
      <c r="E855" s="2" t="str">
        <f>"PR2900021D"</f>
        <v>PR2900021D</v>
      </c>
      <c r="F855" s="5">
        <v>42608</v>
      </c>
      <c r="G855" s="5">
        <v>54789</v>
      </c>
      <c r="H855" s="4" t="str">
        <f>""</f>
        <v/>
      </c>
      <c r="I855" s="4" t="str">
        <f>""</f>
        <v/>
      </c>
    </row>
    <row r="856" spans="1:9" x14ac:dyDescent="0.3">
      <c r="A856" s="1" t="str">
        <f>"29"</f>
        <v>29</v>
      </c>
      <c r="B856" s="4" t="str">
        <f>"GARAGE BOULANGER THIERRY"</f>
        <v>GARAGE BOULANGER THIERRY</v>
      </c>
      <c r="C856" s="4">
        <v>434188611</v>
      </c>
      <c r="D856" s="3" t="s">
        <v>0</v>
      </c>
      <c r="E856" s="2" t="str">
        <f>"0005501073"</f>
        <v>0005501073</v>
      </c>
      <c r="F856" s="5">
        <v>42608</v>
      </c>
      <c r="G856" s="5">
        <v>54789</v>
      </c>
      <c r="H856" s="4" t="str">
        <f>""</f>
        <v/>
      </c>
      <c r="I856" s="4" t="str">
        <f>""</f>
        <v/>
      </c>
    </row>
    <row r="857" spans="1:9" x14ac:dyDescent="0.3">
      <c r="A857" s="1" t="str">
        <f>"29"</f>
        <v>29</v>
      </c>
      <c r="B857" s="4" t="str">
        <f>"SOCIETE NOUVELLE FORNES"</f>
        <v>SOCIETE NOUVELLE FORNES</v>
      </c>
      <c r="C857" s="4">
        <v>441258597</v>
      </c>
      <c r="D857" s="3" t="s">
        <v>0</v>
      </c>
      <c r="E857" s="2" t="str">
        <f>"PR2900002D"</f>
        <v>PR2900002D</v>
      </c>
      <c r="F857" s="5">
        <v>38911</v>
      </c>
      <c r="G857" s="5">
        <v>54789</v>
      </c>
      <c r="H857" s="4" t="str">
        <f>""</f>
        <v/>
      </c>
      <c r="I857" s="4" t="str">
        <f>""</f>
        <v/>
      </c>
    </row>
    <row r="858" spans="1:9" x14ac:dyDescent="0.3">
      <c r="A858" s="1" t="str">
        <f>"29"</f>
        <v>29</v>
      </c>
      <c r="B858" s="4" t="str">
        <f>"SOCIETE NOUVELLE FORNES"</f>
        <v>SOCIETE NOUVELLE FORNES</v>
      </c>
      <c r="C858" s="4">
        <v>441258597</v>
      </c>
      <c r="D858" s="3" t="s">
        <v>0</v>
      </c>
      <c r="E858" s="2" t="str">
        <f>"0005501195"</f>
        <v>0005501195</v>
      </c>
      <c r="F858" s="5">
        <v>38911</v>
      </c>
      <c r="G858" s="5">
        <v>54789</v>
      </c>
      <c r="H858" s="4" t="str">
        <f>""</f>
        <v/>
      </c>
      <c r="I858" s="4" t="str">
        <f>""</f>
        <v/>
      </c>
    </row>
    <row r="859" spans="1:9" x14ac:dyDescent="0.3">
      <c r="A859" s="1" t="str">
        <f>"29"</f>
        <v>29</v>
      </c>
      <c r="B859" s="4" t="str">
        <f>"MG AUTO CASSE"</f>
        <v>MG AUTO CASSE</v>
      </c>
      <c r="C859" s="4">
        <v>447930173</v>
      </c>
      <c r="D859" s="3" t="s">
        <v>0</v>
      </c>
      <c r="E859" s="2" t="str">
        <f>"PR2900013D"</f>
        <v>PR2900013D</v>
      </c>
      <c r="F859" s="5">
        <v>39078</v>
      </c>
      <c r="G859" s="5">
        <v>54789</v>
      </c>
      <c r="H859" s="4" t="str">
        <f>""</f>
        <v/>
      </c>
      <c r="I859" s="4" t="str">
        <f>""</f>
        <v/>
      </c>
    </row>
    <row r="860" spans="1:9" x14ac:dyDescent="0.3">
      <c r="A860" s="1" t="str">
        <f>"29"</f>
        <v>29</v>
      </c>
      <c r="B860" s="4" t="str">
        <f>"MG AUTO CASSE"</f>
        <v>MG AUTO CASSE</v>
      </c>
      <c r="C860" s="4">
        <v>447930173</v>
      </c>
      <c r="D860" s="3" t="s">
        <v>0</v>
      </c>
      <c r="E860" s="2" t="str">
        <f>"0005500781"</f>
        <v>0005500781</v>
      </c>
      <c r="F860" s="5">
        <v>39078</v>
      </c>
      <c r="G860" s="5">
        <v>54789</v>
      </c>
      <c r="H860" s="4" t="str">
        <f>""</f>
        <v/>
      </c>
      <c r="I860" s="4" t="str">
        <f>""</f>
        <v/>
      </c>
    </row>
    <row r="861" spans="1:9" x14ac:dyDescent="0.3">
      <c r="A861" s="1" t="str">
        <f>"29"</f>
        <v>29</v>
      </c>
      <c r="B861" s="4" t="str">
        <f>"ROMI BRETAGNE"</f>
        <v>ROMI BRETAGNE</v>
      </c>
      <c r="C861" s="4">
        <v>639200484</v>
      </c>
      <c r="D861" s="3" t="s">
        <v>0</v>
      </c>
      <c r="E861" s="2" t="str">
        <f>"PR2900006D"</f>
        <v>PR2900006D</v>
      </c>
      <c r="F861" s="5">
        <v>43456</v>
      </c>
      <c r="G861" s="5">
        <v>54789</v>
      </c>
      <c r="H861" s="4" t="str">
        <f>""</f>
        <v/>
      </c>
      <c r="I861" s="4" t="str">
        <f>""</f>
        <v/>
      </c>
    </row>
    <row r="862" spans="1:9" x14ac:dyDescent="0.3">
      <c r="A862" s="1" t="str">
        <f>"29"</f>
        <v>29</v>
      </c>
      <c r="B862" s="4" t="str">
        <f>"ROMI BRETAGNE"</f>
        <v>ROMI BRETAGNE</v>
      </c>
      <c r="C862" s="4">
        <v>639200484</v>
      </c>
      <c r="D862" s="3" t="s">
        <v>0</v>
      </c>
      <c r="E862" s="2" t="str">
        <f>"0005506384"</f>
        <v>0005506384</v>
      </c>
      <c r="F862" s="5">
        <v>43456</v>
      </c>
      <c r="G862" s="5">
        <v>54789</v>
      </c>
      <c r="H862" s="4" t="str">
        <f>""</f>
        <v/>
      </c>
      <c r="I862" s="4" t="str">
        <f>""</f>
        <v/>
      </c>
    </row>
    <row r="863" spans="1:9" x14ac:dyDescent="0.3">
      <c r="A863" s="1" t="str">
        <f>"29"</f>
        <v>29</v>
      </c>
      <c r="B863" s="4" t="str">
        <f>"AUTO CASSE LE GOFF"</f>
        <v>AUTO CASSE LE GOFF</v>
      </c>
      <c r="C863" s="4">
        <v>831151634</v>
      </c>
      <c r="D863" s="3" t="s">
        <v>0</v>
      </c>
      <c r="E863" s="2" t="str">
        <f>"PR2900019D"</f>
        <v>PR2900019D</v>
      </c>
      <c r="F863" s="5">
        <v>39615</v>
      </c>
      <c r="G863" s="5">
        <v>54789</v>
      </c>
      <c r="H863" s="4" t="str">
        <f>""</f>
        <v/>
      </c>
      <c r="I863" s="4" t="str">
        <f>""</f>
        <v/>
      </c>
    </row>
    <row r="864" spans="1:9" x14ac:dyDescent="0.3">
      <c r="A864" s="1" t="str">
        <f>"29"</f>
        <v>29</v>
      </c>
      <c r="B864" s="4" t="str">
        <f>"AUTO CASSE LE GOFF"</f>
        <v>AUTO CASSE LE GOFF</v>
      </c>
      <c r="C864" s="4">
        <v>831151634</v>
      </c>
      <c r="D864" s="3" t="s">
        <v>0</v>
      </c>
      <c r="E864" s="2" t="str">
        <f>"0005515326"</f>
        <v>0005515326</v>
      </c>
      <c r="F864" s="5">
        <v>39615</v>
      </c>
      <c r="G864" s="5">
        <v>54789</v>
      </c>
      <c r="H864" s="4" t="str">
        <f>""</f>
        <v/>
      </c>
      <c r="I864" s="4" t="str">
        <f>""</f>
        <v/>
      </c>
    </row>
    <row r="865" spans="1:9" x14ac:dyDescent="0.3">
      <c r="A865" s="1" t="str">
        <f>"29"</f>
        <v>29</v>
      </c>
      <c r="B865" s="4" t="str">
        <f>"KERAVAL VHU"</f>
        <v>KERAVAL VHU</v>
      </c>
      <c r="C865" s="4">
        <v>900337163</v>
      </c>
      <c r="D865" s="3" t="s">
        <v>0</v>
      </c>
      <c r="E865" s="2" t="str">
        <f>"PR2900029D"</f>
        <v>PR2900029D</v>
      </c>
      <c r="F865" s="5">
        <v>45600</v>
      </c>
      <c r="G865" s="5">
        <v>54789</v>
      </c>
      <c r="H865" s="4" t="str">
        <f>""</f>
        <v/>
      </c>
      <c r="I865" s="4" t="str">
        <f>""</f>
        <v/>
      </c>
    </row>
    <row r="866" spans="1:9" x14ac:dyDescent="0.3">
      <c r="A866" s="1" t="str">
        <f>"29"</f>
        <v>29</v>
      </c>
      <c r="B866" s="4" t="str">
        <f>"KERAVAL VHU"</f>
        <v>KERAVAL VHU</v>
      </c>
      <c r="C866" s="4">
        <v>900337163</v>
      </c>
      <c r="D866" s="3" t="s">
        <v>0</v>
      </c>
      <c r="E866" s="2" t="str">
        <f>"0005506308"</f>
        <v>0005506308</v>
      </c>
      <c r="F866" s="5">
        <v>45600</v>
      </c>
      <c r="G866" s="5">
        <v>54789</v>
      </c>
      <c r="H866" s="4" t="str">
        <f>""</f>
        <v/>
      </c>
      <c r="I866" s="4" t="str">
        <f>""</f>
        <v/>
      </c>
    </row>
    <row r="867" spans="1:9" x14ac:dyDescent="0.3">
      <c r="A867" s="1" t="str">
        <f>"29"</f>
        <v>29</v>
      </c>
      <c r="B867" s="4" t="str">
        <f>"SEJA"</f>
        <v>SEJA</v>
      </c>
      <c r="C867" s="4">
        <v>914973243</v>
      </c>
      <c r="D867" s="3" t="s">
        <v>0</v>
      </c>
      <c r="E867" s="2" t="str">
        <f>"PR2900028D"</f>
        <v>PR2900028D</v>
      </c>
      <c r="F867" s="5">
        <v>44949</v>
      </c>
      <c r="G867" s="5">
        <v>54789</v>
      </c>
      <c r="H867" s="4" t="str">
        <f>""</f>
        <v/>
      </c>
      <c r="I867" s="4" t="str">
        <f>""</f>
        <v/>
      </c>
    </row>
    <row r="868" spans="1:9" x14ac:dyDescent="0.3">
      <c r="A868" s="1" t="str">
        <f>"29"</f>
        <v>29</v>
      </c>
      <c r="B868" s="4" t="str">
        <f>"SEJA"</f>
        <v>SEJA</v>
      </c>
      <c r="C868" s="4">
        <v>914973243</v>
      </c>
      <c r="D868" s="3" t="s">
        <v>0</v>
      </c>
      <c r="E868" s="2" t="str">
        <f>"0005500829"</f>
        <v>0005500829</v>
      </c>
      <c r="F868" s="5">
        <v>44949</v>
      </c>
      <c r="G868" s="5">
        <v>54789</v>
      </c>
      <c r="H868" s="4" t="str">
        <f>""</f>
        <v/>
      </c>
      <c r="I868" s="4" t="str">
        <f>""</f>
        <v/>
      </c>
    </row>
    <row r="869" spans="1:9" x14ac:dyDescent="0.3">
      <c r="A869" s="1" t="str">
        <f>"30"</f>
        <v>30</v>
      </c>
      <c r="B869" s="4" t="str">
        <f>"SAS DURAND RECUPERATION"</f>
        <v>SAS DURAND RECUPERATION</v>
      </c>
      <c r="C869" s="4">
        <v>301921102</v>
      </c>
      <c r="D869" s="3" t="s">
        <v>0</v>
      </c>
      <c r="E869" s="2" t="str">
        <f>"PR3000011D"</f>
        <v>PR3000011D</v>
      </c>
      <c r="F869" s="5">
        <v>43179</v>
      </c>
      <c r="G869" s="5">
        <v>54789</v>
      </c>
      <c r="H869" s="4" t="str">
        <f>""</f>
        <v/>
      </c>
      <c r="I869" s="4" t="str">
        <f>""</f>
        <v/>
      </c>
    </row>
    <row r="870" spans="1:9" x14ac:dyDescent="0.3">
      <c r="A870" s="1" t="str">
        <f>"30"</f>
        <v>30</v>
      </c>
      <c r="B870" s="4" t="str">
        <f>"SAS DURAND RECUPERATION"</f>
        <v>SAS DURAND RECUPERATION</v>
      </c>
      <c r="C870" s="4">
        <v>301921102</v>
      </c>
      <c r="D870" s="3" t="s">
        <v>0</v>
      </c>
      <c r="E870" s="2" t="str">
        <f>"0006600613"</f>
        <v>0006600613</v>
      </c>
      <c r="F870" s="5">
        <v>43179</v>
      </c>
      <c r="G870" s="5">
        <v>54789</v>
      </c>
      <c r="H870" s="4" t="str">
        <f>""</f>
        <v/>
      </c>
      <c r="I870" s="4" t="str">
        <f>""</f>
        <v/>
      </c>
    </row>
    <row r="871" spans="1:9" x14ac:dyDescent="0.3">
      <c r="A871" s="1" t="str">
        <f>"30"</f>
        <v>30</v>
      </c>
      <c r="B871" s="4" t="str">
        <f>"SARL BIANCONE"</f>
        <v>SARL BIANCONE</v>
      </c>
      <c r="C871" s="4">
        <v>308067461</v>
      </c>
      <c r="D871" s="3" t="s">
        <v>0</v>
      </c>
      <c r="E871" s="2" t="str">
        <f>"PR3000012D"</f>
        <v>PR3000012D</v>
      </c>
      <c r="F871" s="5">
        <v>43290</v>
      </c>
      <c r="G871" s="5">
        <v>54789</v>
      </c>
      <c r="H871" s="4" t="str">
        <f>""</f>
        <v/>
      </c>
      <c r="I871" s="4" t="str">
        <f>""</f>
        <v/>
      </c>
    </row>
    <row r="872" spans="1:9" x14ac:dyDescent="0.3">
      <c r="A872" s="1" t="str">
        <f>"30"</f>
        <v>30</v>
      </c>
      <c r="B872" s="4" t="str">
        <f>"SARL BIANCONE"</f>
        <v>SARL BIANCONE</v>
      </c>
      <c r="C872" s="4">
        <v>308067461</v>
      </c>
      <c r="D872" s="3" t="s">
        <v>0</v>
      </c>
      <c r="E872" s="2" t="str">
        <f>"0006601654"</f>
        <v>0006601654</v>
      </c>
      <c r="F872" s="5">
        <v>43290</v>
      </c>
      <c r="G872" s="5">
        <v>54789</v>
      </c>
      <c r="H872" s="4" t="str">
        <f>""</f>
        <v/>
      </c>
      <c r="I872" s="4" t="str">
        <f>""</f>
        <v/>
      </c>
    </row>
    <row r="873" spans="1:9" x14ac:dyDescent="0.3">
      <c r="A873" s="1" t="str">
        <f>"30"</f>
        <v>30</v>
      </c>
      <c r="B873" s="4" t="str">
        <f>"DEMOLITION AUTO-DEPANNAGES M. Raymond ASVISIO"</f>
        <v>DEMOLITION AUTO-DEPANNAGES M. Raymond ASVISIO</v>
      </c>
      <c r="C873" s="4">
        <v>315266429</v>
      </c>
      <c r="D873" s="3" t="s">
        <v>0</v>
      </c>
      <c r="E873" s="2" t="str">
        <f>"PR3000020D"</f>
        <v>PR3000020D</v>
      </c>
      <c r="F873" s="5">
        <v>43894</v>
      </c>
      <c r="G873" s="5">
        <v>54789</v>
      </c>
      <c r="H873" s="4" t="str">
        <f>""</f>
        <v/>
      </c>
      <c r="I873" s="4" t="str">
        <f>""</f>
        <v/>
      </c>
    </row>
    <row r="874" spans="1:9" x14ac:dyDescent="0.3">
      <c r="A874" s="1" t="str">
        <f>"30"</f>
        <v>30</v>
      </c>
      <c r="B874" s="4" t="str">
        <f>"DEMOLITION AUTO-DEPANNAGES M. Raymond ASVISIO"</f>
        <v>DEMOLITION AUTO-DEPANNAGES M. Raymond ASVISIO</v>
      </c>
      <c r="C874" s="4">
        <v>315266429</v>
      </c>
      <c r="D874" s="3" t="s">
        <v>0</v>
      </c>
      <c r="E874" s="2" t="str">
        <f>"0006600621"</f>
        <v>0006600621</v>
      </c>
      <c r="F874" s="5">
        <v>43894</v>
      </c>
      <c r="G874" s="5">
        <v>54789</v>
      </c>
      <c r="H874" s="4" t="str">
        <f>""</f>
        <v/>
      </c>
      <c r="I874" s="4" t="str">
        <f>""</f>
        <v/>
      </c>
    </row>
    <row r="875" spans="1:9" x14ac:dyDescent="0.3">
      <c r="A875" s="1" t="str">
        <f>"30"</f>
        <v>30</v>
      </c>
      <c r="B875" s="4" t="str">
        <f>"SARL ARPO"</f>
        <v>SARL ARPO</v>
      </c>
      <c r="C875" s="4">
        <v>323337261</v>
      </c>
      <c r="D875" s="3" t="s">
        <v>0</v>
      </c>
      <c r="E875" s="2" t="str">
        <f>"PR3000010D"</f>
        <v>PR3000010D</v>
      </c>
      <c r="F875" s="5">
        <v>43292</v>
      </c>
      <c r="G875" s="5">
        <v>54789</v>
      </c>
      <c r="H875" s="4" t="str">
        <f>""</f>
        <v/>
      </c>
      <c r="I875" s="4" t="str">
        <f>""</f>
        <v/>
      </c>
    </row>
    <row r="876" spans="1:9" x14ac:dyDescent="0.3">
      <c r="A876" s="1" t="str">
        <f>"30"</f>
        <v>30</v>
      </c>
      <c r="B876" s="4" t="str">
        <f>"SARL ARPO"</f>
        <v>SARL ARPO</v>
      </c>
      <c r="C876" s="4">
        <v>323337261</v>
      </c>
      <c r="D876" s="3" t="s">
        <v>0</v>
      </c>
      <c r="E876" s="2" t="str">
        <f>"0006600743"</f>
        <v>0006600743</v>
      </c>
      <c r="F876" s="5">
        <v>43292</v>
      </c>
      <c r="G876" s="5">
        <v>54789</v>
      </c>
      <c r="H876" s="4" t="str">
        <f>""</f>
        <v/>
      </c>
      <c r="I876" s="4" t="str">
        <f>""</f>
        <v/>
      </c>
    </row>
    <row r="877" spans="1:9" x14ac:dyDescent="0.3">
      <c r="A877" s="1" t="str">
        <f>"30"</f>
        <v>30</v>
      </c>
      <c r="B877" s="4" t="str">
        <f>"SAS PURFER"</f>
        <v>SAS PURFER</v>
      </c>
      <c r="C877" s="4">
        <v>332628171</v>
      </c>
      <c r="D877" s="3" t="s">
        <v>0</v>
      </c>
      <c r="E877" s="2" t="str">
        <f>"PR3000023D"</f>
        <v>PR3000023D</v>
      </c>
      <c r="F877" s="5">
        <v>43290</v>
      </c>
      <c r="G877" s="5">
        <v>54789</v>
      </c>
      <c r="H877" s="4" t="str">
        <f>""</f>
        <v/>
      </c>
      <c r="I877" s="4" t="str">
        <f>""</f>
        <v/>
      </c>
    </row>
    <row r="878" spans="1:9" x14ac:dyDescent="0.3">
      <c r="A878" s="1" t="str">
        <f>"30"</f>
        <v>30</v>
      </c>
      <c r="B878" s="4" t="str">
        <f>"SAS PURFER"</f>
        <v>SAS PURFER</v>
      </c>
      <c r="C878" s="4">
        <v>332628171</v>
      </c>
      <c r="D878" s="3" t="s">
        <v>0</v>
      </c>
      <c r="E878" s="2" t="str">
        <f>"0006600569"</f>
        <v>0006600569</v>
      </c>
      <c r="F878" s="5">
        <v>43290</v>
      </c>
      <c r="G878" s="5">
        <v>54789</v>
      </c>
      <c r="H878" s="4" t="str">
        <f>""</f>
        <v/>
      </c>
      <c r="I878" s="4" t="str">
        <f>""</f>
        <v/>
      </c>
    </row>
    <row r="879" spans="1:9" x14ac:dyDescent="0.3">
      <c r="A879" s="1" t="str">
        <f>"30"</f>
        <v>30</v>
      </c>
      <c r="B879" s="4" t="str">
        <f>"SARL SEDEM 30"</f>
        <v>SARL SEDEM 30</v>
      </c>
      <c r="C879" s="4">
        <v>378911283</v>
      </c>
      <c r="D879" s="3" t="s">
        <v>0</v>
      </c>
      <c r="E879" s="2" t="str">
        <f>"PR3000001D"</f>
        <v>PR3000001D</v>
      </c>
      <c r="F879" s="5">
        <v>43812</v>
      </c>
      <c r="G879" s="5">
        <v>54789</v>
      </c>
      <c r="H879" s="4" t="str">
        <f>""</f>
        <v/>
      </c>
      <c r="I879" s="4" t="str">
        <f>""</f>
        <v/>
      </c>
    </row>
    <row r="880" spans="1:9" x14ac:dyDescent="0.3">
      <c r="A880" s="1" t="str">
        <f>"30"</f>
        <v>30</v>
      </c>
      <c r="B880" s="4" t="str">
        <f>"SARL SEDEM 30"</f>
        <v>SARL SEDEM 30</v>
      </c>
      <c r="C880" s="4">
        <v>378911283</v>
      </c>
      <c r="D880" s="3" t="s">
        <v>0</v>
      </c>
      <c r="E880" s="2" t="str">
        <f>"0006601647"</f>
        <v>0006601647</v>
      </c>
      <c r="F880" s="5">
        <v>43812</v>
      </c>
      <c r="G880" s="5">
        <v>54789</v>
      </c>
      <c r="H880" s="4" t="str">
        <f>""</f>
        <v/>
      </c>
      <c r="I880" s="4" t="str">
        <f>""</f>
        <v/>
      </c>
    </row>
    <row r="881" spans="1:9" x14ac:dyDescent="0.3">
      <c r="A881" s="1" t="str">
        <f>"30"</f>
        <v>30</v>
      </c>
      <c r="B881" s="4" t="str">
        <f>"SARL AUBORD AUTO PIECES"</f>
        <v>SARL AUBORD AUTO PIECES</v>
      </c>
      <c r="C881" s="4">
        <v>408719003</v>
      </c>
      <c r="D881" s="3" t="s">
        <v>0</v>
      </c>
      <c r="E881" s="2" t="str">
        <f>"PR3000004D"</f>
        <v>PR3000004D</v>
      </c>
      <c r="F881" s="5">
        <v>43509</v>
      </c>
      <c r="G881" s="5">
        <v>54789</v>
      </c>
      <c r="H881" s="4" t="str">
        <f>""</f>
        <v/>
      </c>
      <c r="I881" s="4" t="str">
        <f>""</f>
        <v/>
      </c>
    </row>
    <row r="882" spans="1:9" x14ac:dyDescent="0.3">
      <c r="A882" s="1" t="str">
        <f>"30"</f>
        <v>30</v>
      </c>
      <c r="B882" s="4" t="str">
        <f>"SARL AUBORD AUTO PIECES"</f>
        <v>SARL AUBORD AUTO PIECES</v>
      </c>
      <c r="C882" s="4">
        <v>408719003</v>
      </c>
      <c r="D882" s="3" t="s">
        <v>0</v>
      </c>
      <c r="E882" s="2" t="str">
        <f>"0006600545"</f>
        <v>0006600545</v>
      </c>
      <c r="F882" s="5">
        <v>43509</v>
      </c>
      <c r="G882" s="5">
        <v>54789</v>
      </c>
      <c r="H882" s="4" t="str">
        <f>""</f>
        <v/>
      </c>
      <c r="I882" s="4" t="str">
        <f>""</f>
        <v/>
      </c>
    </row>
    <row r="883" spans="1:9" x14ac:dyDescent="0.3">
      <c r="A883" s="1" t="str">
        <f>"30"</f>
        <v>30</v>
      </c>
      <c r="B883" s="4" t="str">
        <f>"SAS NIM TOUT TERRAIN"</f>
        <v>SAS NIM TOUT TERRAIN</v>
      </c>
      <c r="C883" s="4">
        <v>420050536</v>
      </c>
      <c r="D883" s="3" t="s">
        <v>0</v>
      </c>
      <c r="E883" s="2" t="str">
        <f>"PR3000018D"</f>
        <v>PR3000018D</v>
      </c>
      <c r="F883" s="5">
        <v>43817</v>
      </c>
      <c r="G883" s="5">
        <v>54789</v>
      </c>
      <c r="H883" s="4" t="str">
        <f>""</f>
        <v/>
      </c>
      <c r="I883" s="4" t="str">
        <f>""</f>
        <v/>
      </c>
    </row>
    <row r="884" spans="1:9" x14ac:dyDescent="0.3">
      <c r="A884" s="1" t="str">
        <f>"30"</f>
        <v>30</v>
      </c>
      <c r="B884" s="4" t="str">
        <f>"SAS NIM TOUT TERRAIN"</f>
        <v>SAS NIM TOUT TERRAIN</v>
      </c>
      <c r="C884" s="4">
        <v>420050536</v>
      </c>
      <c r="D884" s="3" t="s">
        <v>0</v>
      </c>
      <c r="E884" s="2" t="str">
        <f>"0006603714"</f>
        <v>0006603714</v>
      </c>
      <c r="F884" s="5">
        <v>43817</v>
      </c>
      <c r="G884" s="5">
        <v>54789</v>
      </c>
      <c r="H884" s="4" t="str">
        <f>""</f>
        <v/>
      </c>
      <c r="I884" s="4" t="str">
        <f>""</f>
        <v/>
      </c>
    </row>
    <row r="885" spans="1:9" x14ac:dyDescent="0.3">
      <c r="A885" s="1" t="str">
        <f>"30"</f>
        <v>30</v>
      </c>
      <c r="B885" s="4" t="str">
        <f>"SARL D.A.R"</f>
        <v>SARL D.A.R</v>
      </c>
      <c r="C885" s="4">
        <v>420392706</v>
      </c>
      <c r="D885" s="3" t="s">
        <v>0</v>
      </c>
      <c r="E885" s="2" t="str">
        <f>"PR3000008D"</f>
        <v>PR3000008D</v>
      </c>
      <c r="F885" s="5">
        <v>43186</v>
      </c>
      <c r="G885" s="5">
        <v>54789</v>
      </c>
      <c r="H885" s="4" t="str">
        <f>""</f>
        <v/>
      </c>
      <c r="I885" s="4" t="str">
        <f>""</f>
        <v/>
      </c>
    </row>
    <row r="886" spans="1:9" x14ac:dyDescent="0.3">
      <c r="A886" s="1" t="str">
        <f>"30"</f>
        <v>30</v>
      </c>
      <c r="B886" s="4" t="str">
        <f>"SARL D.A.R"</f>
        <v>SARL D.A.R</v>
      </c>
      <c r="C886" s="4">
        <v>420392706</v>
      </c>
      <c r="D886" s="3" t="s">
        <v>0</v>
      </c>
      <c r="E886" s="2" t="str">
        <f>"0018100041"</f>
        <v>0018100041</v>
      </c>
      <c r="F886" s="5">
        <v>43186</v>
      </c>
      <c r="G886" s="5">
        <v>54789</v>
      </c>
      <c r="H886" s="4" t="str">
        <f>""</f>
        <v/>
      </c>
      <c r="I886" s="4" t="str">
        <f>""</f>
        <v/>
      </c>
    </row>
    <row r="887" spans="1:9" x14ac:dyDescent="0.3">
      <c r="A887" s="1" t="str">
        <f>"30"</f>
        <v>30</v>
      </c>
      <c r="B887" s="4" t="str">
        <f>"SARL D.A.R"</f>
        <v>SARL D.A.R</v>
      </c>
      <c r="C887" s="4">
        <v>420392706</v>
      </c>
      <c r="D887" s="3" t="s">
        <v>0</v>
      </c>
      <c r="E887" s="2" t="str">
        <f>"PR3000009D"</f>
        <v>PR3000009D</v>
      </c>
      <c r="F887" s="5">
        <v>43290</v>
      </c>
      <c r="G887" s="5">
        <v>54789</v>
      </c>
      <c r="H887" s="4" t="str">
        <f>""</f>
        <v/>
      </c>
      <c r="I887" s="4" t="str">
        <f>""</f>
        <v/>
      </c>
    </row>
    <row r="888" spans="1:9" x14ac:dyDescent="0.3">
      <c r="A888" s="1" t="str">
        <f>"30"</f>
        <v>30</v>
      </c>
      <c r="B888" s="4" t="str">
        <f>"SARL D.A.R"</f>
        <v>SARL D.A.R</v>
      </c>
      <c r="C888" s="4">
        <v>420392706</v>
      </c>
      <c r="D888" s="3" t="s">
        <v>0</v>
      </c>
      <c r="E888" s="2" t="str">
        <f>"0018100035"</f>
        <v>0018100035</v>
      </c>
      <c r="F888" s="5">
        <v>43290</v>
      </c>
      <c r="G888" s="5">
        <v>54789</v>
      </c>
      <c r="H888" s="4" t="str">
        <f>""</f>
        <v/>
      </c>
      <c r="I888" s="4" t="str">
        <f>""</f>
        <v/>
      </c>
    </row>
    <row r="889" spans="1:9" x14ac:dyDescent="0.3">
      <c r="A889" s="1" t="str">
        <f>"30"</f>
        <v>30</v>
      </c>
      <c r="B889" s="4" t="str">
        <f>"RECYCL'AUTO PIECES NîMES"</f>
        <v>RECYCL'AUTO PIECES NîMES</v>
      </c>
      <c r="C889" s="4">
        <v>432726115</v>
      </c>
      <c r="D889" s="3" t="s">
        <v>0</v>
      </c>
      <c r="E889" s="2" t="str">
        <f>"PR3000026D"</f>
        <v>PR3000026D</v>
      </c>
      <c r="F889" s="5">
        <v>42587</v>
      </c>
      <c r="G889" s="5">
        <v>54789</v>
      </c>
      <c r="H889" s="4" t="str">
        <f>""</f>
        <v/>
      </c>
      <c r="I889" s="4" t="str">
        <f>""</f>
        <v/>
      </c>
    </row>
    <row r="890" spans="1:9" x14ac:dyDescent="0.3">
      <c r="A890" s="1" t="str">
        <f>"30"</f>
        <v>30</v>
      </c>
      <c r="B890" s="4" t="str">
        <f>"RECYCL'AUTO PIECES NîMES"</f>
        <v>RECYCL'AUTO PIECES NîMES</v>
      </c>
      <c r="C890" s="4">
        <v>432726115</v>
      </c>
      <c r="D890" s="3" t="s">
        <v>0</v>
      </c>
      <c r="E890" s="2" t="str">
        <f>"0006606646"</f>
        <v>0006606646</v>
      </c>
      <c r="F890" s="5">
        <v>42587</v>
      </c>
      <c r="G890" s="5">
        <v>54789</v>
      </c>
      <c r="H890" s="4" t="str">
        <f>""</f>
        <v/>
      </c>
      <c r="I890" s="4" t="str">
        <f>""</f>
        <v/>
      </c>
    </row>
    <row r="891" spans="1:9" x14ac:dyDescent="0.3">
      <c r="A891" s="1" t="str">
        <f>"30"</f>
        <v>30</v>
      </c>
      <c r="B891" s="4" t="str">
        <f>"SARL ROS (TERREIL)"</f>
        <v>SARL ROS (TERREIL)</v>
      </c>
      <c r="C891" s="4">
        <v>442655726</v>
      </c>
      <c r="D891" s="3" t="s">
        <v>0</v>
      </c>
      <c r="E891" s="2" t="str">
        <f>"PR3000015D"</f>
        <v>PR3000015D</v>
      </c>
      <c r="F891" s="5">
        <v>43807</v>
      </c>
      <c r="G891" s="5">
        <v>54789</v>
      </c>
      <c r="H891" s="4" t="str">
        <f>""</f>
        <v/>
      </c>
      <c r="I891" s="4" t="str">
        <f>""</f>
        <v/>
      </c>
    </row>
    <row r="892" spans="1:9" x14ac:dyDescent="0.3">
      <c r="A892" s="1" t="str">
        <f>"30"</f>
        <v>30</v>
      </c>
      <c r="B892" s="4" t="str">
        <f>"SARL ROS (TERREIL)"</f>
        <v>SARL ROS (TERREIL)</v>
      </c>
      <c r="C892" s="4">
        <v>442655726</v>
      </c>
      <c r="D892" s="3" t="s">
        <v>0</v>
      </c>
      <c r="E892" s="2" t="str">
        <f>"0006600632"</f>
        <v>0006600632</v>
      </c>
      <c r="F892" s="5">
        <v>43807</v>
      </c>
      <c r="G892" s="5">
        <v>54789</v>
      </c>
      <c r="H892" s="4" t="str">
        <f>""</f>
        <v/>
      </c>
      <c r="I892" s="4" t="str">
        <f>""</f>
        <v/>
      </c>
    </row>
    <row r="893" spans="1:9" x14ac:dyDescent="0.3">
      <c r="A893" s="1" t="str">
        <f>"30"</f>
        <v>30</v>
      </c>
      <c r="B893" s="4" t="str">
        <f>"SARL RUEGGER PHILIPPE"</f>
        <v>SARL RUEGGER PHILIPPE</v>
      </c>
      <c r="C893" s="4">
        <v>477739262</v>
      </c>
      <c r="D893" s="3" t="s">
        <v>0</v>
      </c>
      <c r="E893" s="2" t="str">
        <f>"PR3000014D"</f>
        <v>PR3000014D</v>
      </c>
      <c r="F893" s="5">
        <v>43761</v>
      </c>
      <c r="G893" s="5">
        <v>54789</v>
      </c>
      <c r="H893" s="4" t="str">
        <f>""</f>
        <v/>
      </c>
      <c r="I893" s="4" t="str">
        <f>""</f>
        <v/>
      </c>
    </row>
    <row r="894" spans="1:9" x14ac:dyDescent="0.3">
      <c r="A894" s="1" t="str">
        <f>"30"</f>
        <v>30</v>
      </c>
      <c r="B894" s="4" t="str">
        <f>"SARL RUEGGER PHILIPPE"</f>
        <v>SARL RUEGGER PHILIPPE</v>
      </c>
      <c r="C894" s="4">
        <v>477739262</v>
      </c>
      <c r="D894" s="3" t="s">
        <v>0</v>
      </c>
      <c r="E894" s="2" t="str">
        <f>"0018100036"</f>
        <v>0018100036</v>
      </c>
      <c r="F894" s="5">
        <v>43761</v>
      </c>
      <c r="G894" s="5">
        <v>54789</v>
      </c>
      <c r="H894" s="4" t="str">
        <f>""</f>
        <v/>
      </c>
      <c r="I894" s="4" t="str">
        <f>""</f>
        <v/>
      </c>
    </row>
    <row r="895" spans="1:9" x14ac:dyDescent="0.3">
      <c r="A895" s="1" t="str">
        <f>"30"</f>
        <v>30</v>
      </c>
      <c r="B895" s="4" t="str">
        <f>"BORRAS TRUCKS"</f>
        <v>BORRAS TRUCKS</v>
      </c>
      <c r="C895" s="4">
        <v>483020657</v>
      </c>
      <c r="D895" s="3" t="s">
        <v>0</v>
      </c>
      <c r="E895" s="2" t="str">
        <f>"0006600408"</f>
        <v>0006600408</v>
      </c>
      <c r="F895" s="5">
        <v>29209</v>
      </c>
      <c r="G895" s="5">
        <v>54789</v>
      </c>
      <c r="H895" s="4" t="str">
        <f>""</f>
        <v/>
      </c>
      <c r="I895" s="4" t="str">
        <f>""</f>
        <v/>
      </c>
    </row>
    <row r="896" spans="1:9" x14ac:dyDescent="0.3">
      <c r="A896" s="1" t="str">
        <f>"30"</f>
        <v>30</v>
      </c>
      <c r="B896" s="4" t="str">
        <f>"SARL DUMAS RECUPERATION"</f>
        <v>SARL DUMAS RECUPERATION</v>
      </c>
      <c r="C896" s="4">
        <v>497869537</v>
      </c>
      <c r="D896" s="3" t="s">
        <v>0</v>
      </c>
      <c r="E896" s="2" t="str">
        <f>"PR3000006D"</f>
        <v>PR3000006D</v>
      </c>
      <c r="F896" s="5">
        <v>43182</v>
      </c>
      <c r="G896" s="5">
        <v>54789</v>
      </c>
      <c r="H896" s="4" t="str">
        <f>""</f>
        <v/>
      </c>
      <c r="I896" s="4" t="str">
        <f>""</f>
        <v/>
      </c>
    </row>
    <row r="897" spans="1:9" x14ac:dyDescent="0.3">
      <c r="A897" s="1" t="str">
        <f>"30"</f>
        <v>30</v>
      </c>
      <c r="B897" s="4" t="str">
        <f>"SARL DUMAS RECUPERATION"</f>
        <v>SARL DUMAS RECUPERATION</v>
      </c>
      <c r="C897" s="4">
        <v>497869537</v>
      </c>
      <c r="D897" s="3" t="s">
        <v>0</v>
      </c>
      <c r="E897" s="2" t="str">
        <f>"0006600688"</f>
        <v>0006600688</v>
      </c>
      <c r="F897" s="5">
        <v>43182</v>
      </c>
      <c r="G897" s="5">
        <v>54789</v>
      </c>
      <c r="H897" s="4" t="str">
        <f>""</f>
        <v/>
      </c>
      <c r="I897" s="4" t="str">
        <f>""</f>
        <v/>
      </c>
    </row>
    <row r="898" spans="1:9" x14ac:dyDescent="0.3">
      <c r="A898" s="1" t="str">
        <f>"30"</f>
        <v>30</v>
      </c>
      <c r="B898" s="4" t="str">
        <f>"SARL DUMAS RECUPERATION"</f>
        <v>SARL DUMAS RECUPERATION</v>
      </c>
      <c r="C898" s="4">
        <v>497869537</v>
      </c>
      <c r="D898" s="3" t="s">
        <v>0</v>
      </c>
      <c r="E898" s="2" t="str">
        <f>"PR3000025D"</f>
        <v>PR3000025D</v>
      </c>
      <c r="F898" s="5">
        <v>43511</v>
      </c>
      <c r="G898" s="5">
        <v>54789</v>
      </c>
      <c r="H898" s="4" t="str">
        <f>""</f>
        <v/>
      </c>
      <c r="I898" s="4" t="str">
        <f>""</f>
        <v/>
      </c>
    </row>
    <row r="899" spans="1:9" x14ac:dyDescent="0.3">
      <c r="A899" s="1" t="str">
        <f>"30"</f>
        <v>30</v>
      </c>
      <c r="B899" s="4" t="str">
        <f>"SARL DUMAS RECUPERATION"</f>
        <v>SARL DUMAS RECUPERATION</v>
      </c>
      <c r="C899" s="4">
        <v>497869537</v>
      </c>
      <c r="D899" s="3" t="s">
        <v>0</v>
      </c>
      <c r="E899" s="2" t="str">
        <f>"0006605296"</f>
        <v>0006605296</v>
      </c>
      <c r="F899" s="5">
        <v>43511</v>
      </c>
      <c r="G899" s="5">
        <v>54789</v>
      </c>
      <c r="H899" s="4" t="str">
        <f>""</f>
        <v/>
      </c>
      <c r="I899" s="4" t="str">
        <f>""</f>
        <v/>
      </c>
    </row>
    <row r="900" spans="1:9" x14ac:dyDescent="0.3">
      <c r="A900" s="1" t="str">
        <f>"30"</f>
        <v>30</v>
      </c>
      <c r="B900" s="4" t="str">
        <f>"SARL PRETEMER AUTO"</f>
        <v>SARL PRETEMER AUTO</v>
      </c>
      <c r="C900" s="4">
        <v>510338742</v>
      </c>
      <c r="D900" s="3" t="s">
        <v>0</v>
      </c>
      <c r="E900" s="2" t="str">
        <f>"PR3000021D"</f>
        <v>PR3000021D</v>
      </c>
      <c r="F900" s="5">
        <v>43894</v>
      </c>
      <c r="G900" s="5">
        <v>54789</v>
      </c>
      <c r="H900" s="4" t="str">
        <f>""</f>
        <v/>
      </c>
      <c r="I900" s="4" t="str">
        <f>""</f>
        <v/>
      </c>
    </row>
    <row r="901" spans="1:9" x14ac:dyDescent="0.3">
      <c r="A901" s="1" t="str">
        <f>"30"</f>
        <v>30</v>
      </c>
      <c r="B901" s="4" t="str">
        <f>"SARL PRETEMER AUTO"</f>
        <v>SARL PRETEMER AUTO</v>
      </c>
      <c r="C901" s="4">
        <v>510338742</v>
      </c>
      <c r="D901" s="3" t="s">
        <v>0</v>
      </c>
      <c r="E901" s="2" t="str">
        <f>"0006600543"</f>
        <v>0006600543</v>
      </c>
      <c r="F901" s="5">
        <v>43894</v>
      </c>
      <c r="G901" s="5">
        <v>54789</v>
      </c>
      <c r="H901" s="4" t="str">
        <f>""</f>
        <v/>
      </c>
      <c r="I901" s="4" t="str">
        <f>""</f>
        <v/>
      </c>
    </row>
    <row r="902" spans="1:9" x14ac:dyDescent="0.3">
      <c r="A902" s="1" t="str">
        <f>"30"</f>
        <v>30</v>
      </c>
      <c r="B902" s="4" t="str">
        <f>"SAS AUBORD RECYCLAGE"</f>
        <v>SAS AUBORD RECYCLAGE</v>
      </c>
      <c r="C902" s="4">
        <v>521722272</v>
      </c>
      <c r="D902" s="3" t="s">
        <v>0</v>
      </c>
      <c r="E902" s="2" t="str">
        <f>"PR3000022D"</f>
        <v>PR3000022D</v>
      </c>
      <c r="F902" s="5">
        <v>42583</v>
      </c>
      <c r="G902" s="5">
        <v>54789</v>
      </c>
      <c r="H902" s="4" t="str">
        <f>""</f>
        <v/>
      </c>
      <c r="I902" s="4" t="str">
        <f>""</f>
        <v/>
      </c>
    </row>
    <row r="903" spans="1:9" x14ac:dyDescent="0.3">
      <c r="A903" s="1" t="str">
        <f>"30"</f>
        <v>30</v>
      </c>
      <c r="B903" s="4" t="str">
        <f>"SAS AUBORD RECYCLAGE"</f>
        <v>SAS AUBORD RECYCLAGE</v>
      </c>
      <c r="C903" s="4">
        <v>521722272</v>
      </c>
      <c r="D903" s="3" t="s">
        <v>0</v>
      </c>
      <c r="E903" s="2" t="str">
        <f>"0006604784"</f>
        <v>0006604784</v>
      </c>
      <c r="F903" s="5">
        <v>42583</v>
      </c>
      <c r="G903" s="5">
        <v>54789</v>
      </c>
      <c r="H903" s="4" t="str">
        <f>""</f>
        <v/>
      </c>
      <c r="I903" s="4" t="str">
        <f>""</f>
        <v/>
      </c>
    </row>
    <row r="904" spans="1:9" x14ac:dyDescent="0.3">
      <c r="A904" s="1" t="str">
        <f>"30"</f>
        <v>30</v>
      </c>
      <c r="B904" s="4" t="str">
        <f>"SARL GIZZI DEMOLITION"</f>
        <v>SARL GIZZI DEMOLITION</v>
      </c>
      <c r="C904" s="4">
        <v>540200300</v>
      </c>
      <c r="D904" s="3" t="s">
        <v>0</v>
      </c>
      <c r="E904" s="2" t="str">
        <f>"PR3000013D"</f>
        <v>PR3000013D</v>
      </c>
      <c r="F904" s="5">
        <v>42377</v>
      </c>
      <c r="G904" s="5">
        <v>54789</v>
      </c>
      <c r="H904" s="4" t="str">
        <f>""</f>
        <v/>
      </c>
      <c r="I904" s="4" t="str">
        <f>""</f>
        <v/>
      </c>
    </row>
    <row r="905" spans="1:9" x14ac:dyDescent="0.3">
      <c r="A905" s="1" t="str">
        <f>"30"</f>
        <v>30</v>
      </c>
      <c r="B905" s="4" t="str">
        <f>"SARL GIZZI DEMOLITION"</f>
        <v>SARL GIZZI DEMOLITION</v>
      </c>
      <c r="C905" s="4">
        <v>540200300</v>
      </c>
      <c r="D905" s="3" t="s">
        <v>0</v>
      </c>
      <c r="E905" s="2" t="str">
        <f>"0006600456"</f>
        <v>0006600456</v>
      </c>
      <c r="F905" s="5">
        <v>42377</v>
      </c>
      <c r="G905" s="5">
        <v>54789</v>
      </c>
      <c r="H905" s="4" t="str">
        <f>""</f>
        <v/>
      </c>
      <c r="I905" s="4" t="str">
        <f>""</f>
        <v/>
      </c>
    </row>
    <row r="906" spans="1:9" x14ac:dyDescent="0.3">
      <c r="A906" s="1" t="str">
        <f>"30"</f>
        <v>30</v>
      </c>
      <c r="B906" s="4" t="str">
        <f>"SA GUY DAUPHIN ENVIRONNEMENT"</f>
        <v>SA GUY DAUPHIN ENVIRONNEMENT</v>
      </c>
      <c r="C906" s="4">
        <v>653820530</v>
      </c>
      <c r="D906" s="3" t="s">
        <v>0</v>
      </c>
      <c r="E906" s="2" t="str">
        <f>"PR3000003D"</f>
        <v>PR3000003D</v>
      </c>
      <c r="F906" s="5">
        <v>38947</v>
      </c>
      <c r="G906" s="5">
        <v>54789</v>
      </c>
      <c r="H906" s="4" t="str">
        <f>""</f>
        <v/>
      </c>
      <c r="I906" s="4" t="str">
        <f>""</f>
        <v/>
      </c>
    </row>
    <row r="907" spans="1:9" x14ac:dyDescent="0.3">
      <c r="A907" s="1" t="str">
        <f>"30"</f>
        <v>30</v>
      </c>
      <c r="B907" s="4" t="str">
        <f>"SA GUY DAUPHIN ENVIRONNEMENT (PURFER Vauvert)"</f>
        <v>SA GUY DAUPHIN ENVIRONNEMENT (PURFER Vauvert)</v>
      </c>
      <c r="C907" s="4">
        <v>653820530</v>
      </c>
      <c r="D907" s="3" t="s">
        <v>0</v>
      </c>
      <c r="E907" s="2" t="str">
        <f>"PR3000017D"</f>
        <v>PR3000017D</v>
      </c>
      <c r="F907" s="5">
        <v>42377</v>
      </c>
      <c r="G907" s="5">
        <v>54789</v>
      </c>
      <c r="H907" s="4" t="str">
        <f>""</f>
        <v/>
      </c>
      <c r="I907" s="4" t="str">
        <f>""</f>
        <v/>
      </c>
    </row>
    <row r="908" spans="1:9" x14ac:dyDescent="0.3">
      <c r="A908" s="1" t="str">
        <f>"30"</f>
        <v>30</v>
      </c>
      <c r="B908" s="4" t="str">
        <f>"SA GUY DAUPHIN ENVIRONNEMENT (PURFER Vauvert)"</f>
        <v>SA GUY DAUPHIN ENVIRONNEMENT (PURFER Vauvert)</v>
      </c>
      <c r="C908" s="4">
        <v>653820530</v>
      </c>
      <c r="D908" s="3" t="s">
        <v>0</v>
      </c>
      <c r="E908" s="2" t="str">
        <f>"0006602770"</f>
        <v>0006602770</v>
      </c>
      <c r="F908" s="5">
        <v>42377</v>
      </c>
      <c r="G908" s="5">
        <v>54789</v>
      </c>
      <c r="H908" s="4" t="str">
        <f>""</f>
        <v/>
      </c>
      <c r="I908" s="4" t="str">
        <f>""</f>
        <v/>
      </c>
    </row>
    <row r="909" spans="1:9" x14ac:dyDescent="0.3">
      <c r="A909" s="1" t="str">
        <f>"30"</f>
        <v>30</v>
      </c>
      <c r="B909" s="4" t="str">
        <f>"SARL TOSETTO-PELOUX"</f>
        <v>SARL TOSETTO-PELOUX</v>
      </c>
      <c r="C909" s="4">
        <v>797634136</v>
      </c>
      <c r="D909" s="3" t="s">
        <v>0</v>
      </c>
      <c r="E909" s="2" t="str">
        <f>"PR3000019D"</f>
        <v>PR3000019D</v>
      </c>
      <c r="F909" s="5">
        <v>43847</v>
      </c>
      <c r="G909" s="5">
        <v>54789</v>
      </c>
      <c r="H909" s="4" t="str">
        <f>""</f>
        <v/>
      </c>
      <c r="I909" s="4" t="str">
        <f>""</f>
        <v/>
      </c>
    </row>
    <row r="910" spans="1:9" x14ac:dyDescent="0.3">
      <c r="A910" s="1" t="str">
        <f>"30"</f>
        <v>30</v>
      </c>
      <c r="B910" s="4" t="str">
        <f>"SARL TOSETTO-PELOUX"</f>
        <v>SARL TOSETTO-PELOUX</v>
      </c>
      <c r="C910" s="4">
        <v>797634136</v>
      </c>
      <c r="D910" s="3" t="s">
        <v>0</v>
      </c>
      <c r="E910" s="2" t="str">
        <f>"0006601674"</f>
        <v>0006601674</v>
      </c>
      <c r="F910" s="5">
        <v>43847</v>
      </c>
      <c r="G910" s="5">
        <v>54789</v>
      </c>
      <c r="H910" s="4" t="str">
        <f>""</f>
        <v/>
      </c>
      <c r="I910" s="4" t="str">
        <f>""</f>
        <v/>
      </c>
    </row>
    <row r="911" spans="1:9" x14ac:dyDescent="0.3">
      <c r="A911" s="1" t="str">
        <f>"30"</f>
        <v>30</v>
      </c>
      <c r="B911" s="4" t="str">
        <f>"CRASH TEAM MOTO"</f>
        <v>CRASH TEAM MOTO</v>
      </c>
      <c r="C911" s="4">
        <v>833353519</v>
      </c>
      <c r="D911" s="3" t="s">
        <v>0</v>
      </c>
      <c r="E911" s="2" t="str">
        <f>"0018100037"</f>
        <v>0018100037</v>
      </c>
      <c r="F911" s="5">
        <v>37545</v>
      </c>
      <c r="G911" s="5">
        <v>54789</v>
      </c>
      <c r="H911" s="4" t="str">
        <f>""</f>
        <v/>
      </c>
      <c r="I911" s="4" t="str">
        <f>""</f>
        <v/>
      </c>
    </row>
    <row r="912" spans="1:9" x14ac:dyDescent="0.3">
      <c r="A912" s="1" t="str">
        <f>"30"</f>
        <v>30</v>
      </c>
      <c r="B912" s="4" t="str">
        <f>"SAS SMV SUD MAINTENANCE VALORISATION"</f>
        <v>SAS SMV SUD MAINTENANCE VALORISATION</v>
      </c>
      <c r="C912" s="4">
        <v>850132903</v>
      </c>
      <c r="D912" s="3" t="s">
        <v>0</v>
      </c>
      <c r="E912" s="2" t="str">
        <f>"PR3000027D"</f>
        <v>PR3000027D</v>
      </c>
      <c r="F912" s="5">
        <v>44421</v>
      </c>
      <c r="G912" s="5">
        <v>54789</v>
      </c>
      <c r="H912" s="4" t="str">
        <f>""</f>
        <v/>
      </c>
      <c r="I912" s="4" t="str">
        <f>""</f>
        <v/>
      </c>
    </row>
    <row r="913" spans="1:9" x14ac:dyDescent="0.3">
      <c r="A913" s="1" t="str">
        <f>"30"</f>
        <v>30</v>
      </c>
      <c r="B913" s="4" t="str">
        <f>"SAS SMV SUD MAINTENANCE VALORISATION"</f>
        <v>SAS SMV SUD MAINTENANCE VALORISATION</v>
      </c>
      <c r="C913" s="4">
        <v>850132903</v>
      </c>
      <c r="D913" s="3" t="s">
        <v>0</v>
      </c>
      <c r="E913" s="2" t="str">
        <f>"0006600816"</f>
        <v>0006600816</v>
      </c>
      <c r="F913" s="5">
        <v>44421</v>
      </c>
      <c r="G913" s="5">
        <v>54789</v>
      </c>
      <c r="H913" s="4" t="str">
        <f>""</f>
        <v/>
      </c>
      <c r="I913" s="4" t="str">
        <f>""</f>
        <v/>
      </c>
    </row>
    <row r="914" spans="1:9" x14ac:dyDescent="0.3">
      <c r="A914" s="1" t="str">
        <f>"30"</f>
        <v>30</v>
      </c>
      <c r="B914" s="4" t="str">
        <f>"EURL STRUPP RECYCLAGE"</f>
        <v>EURL STRUPP RECYCLAGE</v>
      </c>
      <c r="C914" s="4">
        <v>893482695</v>
      </c>
      <c r="D914" s="3" t="s">
        <v>0</v>
      </c>
      <c r="E914" s="2" t="str">
        <f>"PR3000028D"</f>
        <v>PR3000028D</v>
      </c>
      <c r="F914" s="5">
        <v>45600</v>
      </c>
      <c r="G914" s="5">
        <v>54789</v>
      </c>
      <c r="H914" s="4" t="str">
        <f>""</f>
        <v/>
      </c>
      <c r="I914" s="4" t="str">
        <f>""</f>
        <v/>
      </c>
    </row>
    <row r="915" spans="1:9" x14ac:dyDescent="0.3">
      <c r="A915" s="1" t="str">
        <f>"31"</f>
        <v>31</v>
      </c>
      <c r="B915" s="4" t="str">
        <f>"JOEL CORTINA"</f>
        <v>JOEL CORTINA</v>
      </c>
      <c r="C915" s="4">
        <v>323422469</v>
      </c>
      <c r="D915" s="3" t="s">
        <v>0</v>
      </c>
      <c r="E915" s="2" t="str">
        <f>"PR3100023D"</f>
        <v>PR3100023D</v>
      </c>
      <c r="F915" s="5">
        <v>43937</v>
      </c>
      <c r="G915" s="5">
        <v>54789</v>
      </c>
      <c r="H915" s="4" t="str">
        <f>"CORTINA"</f>
        <v>CORTINA</v>
      </c>
      <c r="I915" s="4" t="str">
        <f>"JOEL"</f>
        <v>JOEL</v>
      </c>
    </row>
    <row r="916" spans="1:9" x14ac:dyDescent="0.3">
      <c r="A916" s="1" t="str">
        <f>"31"</f>
        <v>31</v>
      </c>
      <c r="B916" s="4" t="str">
        <f>"JOEL CORTINA"</f>
        <v>JOEL CORTINA</v>
      </c>
      <c r="C916" s="4">
        <v>323422469</v>
      </c>
      <c r="D916" s="3" t="s">
        <v>0</v>
      </c>
      <c r="E916" s="2" t="str">
        <f>"0006806657"</f>
        <v>0006806657</v>
      </c>
      <c r="F916" s="5">
        <v>43937</v>
      </c>
      <c r="G916" s="5">
        <v>54789</v>
      </c>
      <c r="H916" s="4" t="str">
        <f>"CORTINA"</f>
        <v>CORTINA</v>
      </c>
      <c r="I916" s="4" t="str">
        <f>"JOEL"</f>
        <v>JOEL</v>
      </c>
    </row>
    <row r="917" spans="1:9" x14ac:dyDescent="0.3">
      <c r="A917" s="1" t="str">
        <f>"31"</f>
        <v>31</v>
      </c>
      <c r="B917" s="4" t="str">
        <f>"COMPTOIR DU REEMPLOI"</f>
        <v>COMPTOIR DU REEMPLOI</v>
      </c>
      <c r="C917" s="4">
        <v>332333509</v>
      </c>
      <c r="D917" s="3" t="s">
        <v>0</v>
      </c>
      <c r="E917" s="2" t="str">
        <f>"PR3100004D"</f>
        <v>PR3100004D</v>
      </c>
      <c r="F917" s="5">
        <v>43262</v>
      </c>
      <c r="G917" s="5">
        <v>54789</v>
      </c>
      <c r="H917" s="4" t="str">
        <f>""</f>
        <v/>
      </c>
      <c r="I917" s="4" t="str">
        <f>""</f>
        <v/>
      </c>
    </row>
    <row r="918" spans="1:9" x14ac:dyDescent="0.3">
      <c r="A918" s="1" t="str">
        <f>"31"</f>
        <v>31</v>
      </c>
      <c r="B918" s="4" t="str">
        <f>"COMPTOIR DU REEMPLOI"</f>
        <v>COMPTOIR DU REEMPLOI</v>
      </c>
      <c r="C918" s="4">
        <v>332333509</v>
      </c>
      <c r="D918" s="3" t="s">
        <v>0</v>
      </c>
      <c r="E918" s="2" t="str">
        <f>"0006803072"</f>
        <v>0006803072</v>
      </c>
      <c r="F918" s="5">
        <v>43262</v>
      </c>
      <c r="G918" s="5">
        <v>54789</v>
      </c>
      <c r="H918" s="4" t="str">
        <f>""</f>
        <v/>
      </c>
      <c r="I918" s="4" t="str">
        <f>""</f>
        <v/>
      </c>
    </row>
    <row r="919" spans="1:9" x14ac:dyDescent="0.3">
      <c r="A919" s="1" t="str">
        <f>"31"</f>
        <v>31</v>
      </c>
      <c r="B919" s="4" t="str">
        <f>"COURTINAT Jean-Pierre"</f>
        <v>COURTINAT Jean-Pierre</v>
      </c>
      <c r="C919" s="4">
        <v>332622075</v>
      </c>
      <c r="D919" s="3" t="s">
        <v>0</v>
      </c>
      <c r="E919" s="2" t="str">
        <f>"PR3100005D"</f>
        <v>PR3100005D</v>
      </c>
      <c r="F919" s="5">
        <v>43313</v>
      </c>
      <c r="G919" s="5">
        <v>54789</v>
      </c>
      <c r="H919" s="4" t="str">
        <f>"COURTINAT"</f>
        <v>COURTINAT</v>
      </c>
      <c r="I919" s="4" t="str">
        <f>"JEAN-PIERRE"</f>
        <v>JEAN-PIERRE</v>
      </c>
    </row>
    <row r="920" spans="1:9" x14ac:dyDescent="0.3">
      <c r="A920" s="1" t="str">
        <f>"31"</f>
        <v>31</v>
      </c>
      <c r="B920" s="4" t="str">
        <f>"COURTINAT Jean-Pierre"</f>
        <v>COURTINAT Jean-Pierre</v>
      </c>
      <c r="C920" s="4">
        <v>332622075</v>
      </c>
      <c r="D920" s="3" t="s">
        <v>0</v>
      </c>
      <c r="E920" s="2" t="str">
        <f>"0006804380"</f>
        <v>0006804380</v>
      </c>
      <c r="F920" s="5">
        <v>43313</v>
      </c>
      <c r="G920" s="5">
        <v>54789</v>
      </c>
      <c r="H920" s="4" t="str">
        <f>"COURTINAT"</f>
        <v>COURTINAT</v>
      </c>
      <c r="I920" s="4" t="str">
        <f>"JEAN-PIERRE"</f>
        <v>JEAN-PIERRE</v>
      </c>
    </row>
    <row r="921" spans="1:9" x14ac:dyDescent="0.3">
      <c r="A921" s="1" t="str">
        <f>"31"</f>
        <v>31</v>
      </c>
      <c r="B921" s="4" t="str">
        <f>"SURPLUS AUTOS"</f>
        <v>SURPLUS AUTOS</v>
      </c>
      <c r="C921" s="4">
        <v>334489622</v>
      </c>
      <c r="D921" s="3" t="s">
        <v>0</v>
      </c>
      <c r="E921" s="2" t="str">
        <f>"PR3100003D"</f>
        <v>PR3100003D</v>
      </c>
      <c r="F921" s="5">
        <v>43291</v>
      </c>
      <c r="G921" s="5">
        <v>54789</v>
      </c>
      <c r="H921" s="4" t="str">
        <f>""</f>
        <v/>
      </c>
      <c r="I921" s="4" t="str">
        <f>""</f>
        <v/>
      </c>
    </row>
    <row r="922" spans="1:9" x14ac:dyDescent="0.3">
      <c r="A922" s="1" t="str">
        <f>"31"</f>
        <v>31</v>
      </c>
      <c r="B922" s="4" t="str">
        <f>"SURPLUS AUTOS"</f>
        <v>SURPLUS AUTOS</v>
      </c>
      <c r="C922" s="4">
        <v>334489622</v>
      </c>
      <c r="D922" s="3" t="s">
        <v>0</v>
      </c>
      <c r="E922" s="2" t="str">
        <f>"0006804536"</f>
        <v>0006804536</v>
      </c>
      <c r="F922" s="5">
        <v>43291</v>
      </c>
      <c r="G922" s="5">
        <v>54789</v>
      </c>
      <c r="H922" s="4" t="str">
        <f>""</f>
        <v/>
      </c>
      <c r="I922" s="4" t="str">
        <f>""</f>
        <v/>
      </c>
    </row>
    <row r="923" spans="1:9" x14ac:dyDescent="0.3">
      <c r="A923" s="1" t="str">
        <f>"31"</f>
        <v>31</v>
      </c>
      <c r="B923" s="4" t="str">
        <f>"SARL JACKY RECUPERATION AUTO"</f>
        <v>SARL JACKY RECUPERATION AUTO</v>
      </c>
      <c r="C923" s="4">
        <v>342296571</v>
      </c>
      <c r="D923" s="3" t="s">
        <v>0</v>
      </c>
      <c r="E923" s="2" t="str">
        <f>"PR3100016D"</f>
        <v>PR3100016D</v>
      </c>
      <c r="F923" s="5">
        <v>43621</v>
      </c>
      <c r="G923" s="5">
        <v>54789</v>
      </c>
      <c r="H923" s="4" t="str">
        <f>""</f>
        <v/>
      </c>
      <c r="I923" s="4" t="str">
        <f>""</f>
        <v/>
      </c>
    </row>
    <row r="924" spans="1:9" x14ac:dyDescent="0.3">
      <c r="A924" s="1" t="str">
        <f>"31"</f>
        <v>31</v>
      </c>
      <c r="B924" s="4" t="str">
        <f>"SARL JACKY RECUPERATION AUTO"</f>
        <v>SARL JACKY RECUPERATION AUTO</v>
      </c>
      <c r="C924" s="4">
        <v>342296571</v>
      </c>
      <c r="D924" s="3" t="s">
        <v>0</v>
      </c>
      <c r="E924" s="2" t="str">
        <f>"0006805554"</f>
        <v>0006805554</v>
      </c>
      <c r="F924" s="5">
        <v>43621</v>
      </c>
      <c r="G924" s="5">
        <v>54789</v>
      </c>
      <c r="H924" s="4" t="str">
        <f>""</f>
        <v/>
      </c>
      <c r="I924" s="4" t="str">
        <f>""</f>
        <v/>
      </c>
    </row>
    <row r="925" spans="1:9" x14ac:dyDescent="0.3">
      <c r="A925" s="1" t="str">
        <f>"31"</f>
        <v>31</v>
      </c>
      <c r="B925" s="4" t="str">
        <f>"AMERICAFER"</f>
        <v>AMERICAFER</v>
      </c>
      <c r="C925" s="4">
        <v>344884804</v>
      </c>
      <c r="D925" s="3" t="s">
        <v>0</v>
      </c>
      <c r="E925" s="2" t="str">
        <f>"PR3100040D"</f>
        <v>PR3100040D</v>
      </c>
      <c r="F925" s="5">
        <v>43811</v>
      </c>
      <c r="G925" s="5">
        <v>54789</v>
      </c>
      <c r="H925" s="4" t="str">
        <f>""</f>
        <v/>
      </c>
      <c r="I925" s="4" t="str">
        <f>""</f>
        <v/>
      </c>
    </row>
    <row r="926" spans="1:9" x14ac:dyDescent="0.3">
      <c r="A926" s="1" t="str">
        <f>"31"</f>
        <v>31</v>
      </c>
      <c r="B926" s="4" t="str">
        <f>"AMERICAFER"</f>
        <v>AMERICAFER</v>
      </c>
      <c r="C926" s="4">
        <v>344884804</v>
      </c>
      <c r="D926" s="3" t="s">
        <v>0</v>
      </c>
      <c r="E926" s="2" t="str">
        <f>"0006803267"</f>
        <v>0006803267</v>
      </c>
      <c r="F926" s="5">
        <v>43811</v>
      </c>
      <c r="G926" s="5">
        <v>54789</v>
      </c>
      <c r="H926" s="4" t="str">
        <f>""</f>
        <v/>
      </c>
      <c r="I926" s="4" t="str">
        <f>""</f>
        <v/>
      </c>
    </row>
    <row r="927" spans="1:9" x14ac:dyDescent="0.3">
      <c r="A927" s="1" t="str">
        <f>"31"</f>
        <v>31</v>
      </c>
      <c r="B927" s="4" t="str">
        <f>"OLIVIER &amp; FILS"</f>
        <v>OLIVIER &amp; FILS</v>
      </c>
      <c r="C927" s="4">
        <v>352035851</v>
      </c>
      <c r="D927" s="3" t="s">
        <v>0</v>
      </c>
      <c r="E927" s="2" t="str">
        <f>"PR3100002D"</f>
        <v>PR3100002D</v>
      </c>
      <c r="F927" s="5">
        <v>43262</v>
      </c>
      <c r="G927" s="5">
        <v>54789</v>
      </c>
      <c r="H927" s="4" t="str">
        <f>""</f>
        <v/>
      </c>
      <c r="I927" s="4" t="str">
        <f>""</f>
        <v/>
      </c>
    </row>
    <row r="928" spans="1:9" x14ac:dyDescent="0.3">
      <c r="A928" s="1" t="str">
        <f>"31"</f>
        <v>31</v>
      </c>
      <c r="B928" s="4" t="str">
        <f>"OLIVIER &amp; FILS"</f>
        <v>OLIVIER &amp; FILS</v>
      </c>
      <c r="C928" s="4">
        <v>352035851</v>
      </c>
      <c r="D928" s="3" t="s">
        <v>0</v>
      </c>
      <c r="E928" s="2" t="str">
        <f>"0006804794"</f>
        <v>0006804794</v>
      </c>
      <c r="F928" s="5">
        <v>43262</v>
      </c>
      <c r="G928" s="5">
        <v>54789</v>
      </c>
      <c r="H928" s="4" t="str">
        <f>""</f>
        <v/>
      </c>
      <c r="I928" s="4" t="str">
        <f>""</f>
        <v/>
      </c>
    </row>
    <row r="929" spans="1:9" x14ac:dyDescent="0.3">
      <c r="A929" s="1" t="str">
        <f>"31"</f>
        <v>31</v>
      </c>
      <c r="B929" s="4" t="str">
        <f>"AFM Recyclage"</f>
        <v>AFM Recyclage</v>
      </c>
      <c r="C929" s="4">
        <v>383482635</v>
      </c>
      <c r="D929" s="3" t="s">
        <v>0</v>
      </c>
      <c r="E929" s="2" t="str">
        <f>"PR3100001B"</f>
        <v>PR3100001B</v>
      </c>
      <c r="F929" s="5">
        <v>42293</v>
      </c>
      <c r="G929" s="5">
        <v>54789</v>
      </c>
      <c r="H929" s="4" t="str">
        <f>""</f>
        <v/>
      </c>
      <c r="I929" s="4" t="str">
        <f>""</f>
        <v/>
      </c>
    </row>
    <row r="930" spans="1:9" x14ac:dyDescent="0.3">
      <c r="A930" s="1" t="str">
        <f>"31"</f>
        <v>31</v>
      </c>
      <c r="B930" s="4" t="str">
        <f>"AFM Recyclage"</f>
        <v>AFM Recyclage</v>
      </c>
      <c r="C930" s="4">
        <v>383482635</v>
      </c>
      <c r="D930" s="3" t="s">
        <v>0</v>
      </c>
      <c r="E930" s="2" t="str">
        <f>"PR3100027D"</f>
        <v>PR3100027D</v>
      </c>
      <c r="F930" s="5">
        <v>42409</v>
      </c>
      <c r="G930" s="5">
        <v>54789</v>
      </c>
      <c r="H930" s="4" t="str">
        <f>""</f>
        <v/>
      </c>
      <c r="I930" s="4" t="str">
        <f>""</f>
        <v/>
      </c>
    </row>
    <row r="931" spans="1:9" x14ac:dyDescent="0.3">
      <c r="A931" s="1" t="str">
        <f>"31"</f>
        <v>31</v>
      </c>
      <c r="B931" s="4" t="str">
        <f>"AFM Recyclage"</f>
        <v>AFM Recyclage</v>
      </c>
      <c r="C931" s="4">
        <v>383482635</v>
      </c>
      <c r="D931" s="3" t="s">
        <v>0</v>
      </c>
      <c r="E931" s="2" t="str">
        <f>"0006802426"</f>
        <v>0006802426</v>
      </c>
      <c r="F931" s="5">
        <v>42293</v>
      </c>
      <c r="G931" s="5">
        <v>54789</v>
      </c>
      <c r="H931" s="4" t="str">
        <f>""</f>
        <v/>
      </c>
      <c r="I931" s="4" t="str">
        <f>""</f>
        <v/>
      </c>
    </row>
    <row r="932" spans="1:9" x14ac:dyDescent="0.3">
      <c r="A932" s="1" t="str">
        <f>"31"</f>
        <v>31</v>
      </c>
      <c r="B932" s="4" t="str">
        <f>"AFM Recyclage"</f>
        <v>AFM Recyclage</v>
      </c>
      <c r="C932" s="4">
        <v>383482635</v>
      </c>
      <c r="D932" s="3" t="s">
        <v>0</v>
      </c>
      <c r="E932" s="2" t="str">
        <f>"0006803162"</f>
        <v>0006803162</v>
      </c>
      <c r="F932" s="5">
        <v>42409</v>
      </c>
      <c r="G932" s="5">
        <v>54789</v>
      </c>
      <c r="H932" s="4" t="str">
        <f>""</f>
        <v/>
      </c>
      <c r="I932" s="4" t="str">
        <f>""</f>
        <v/>
      </c>
    </row>
    <row r="933" spans="1:9" x14ac:dyDescent="0.3">
      <c r="A933" s="1" t="str">
        <f>"31"</f>
        <v>31</v>
      </c>
      <c r="B933" s="4" t="str">
        <f>"GARAGE INTERNATIONAL HERNANDEZ"</f>
        <v>GARAGE INTERNATIONAL HERNANDEZ</v>
      </c>
      <c r="C933" s="4">
        <v>402608418</v>
      </c>
      <c r="D933" s="3" t="s">
        <v>0</v>
      </c>
      <c r="E933" s="2" t="str">
        <f>"PR3100007D"</f>
        <v>PR3100007D</v>
      </c>
      <c r="F933" s="5">
        <v>43539</v>
      </c>
      <c r="G933" s="5">
        <v>54789</v>
      </c>
      <c r="H933" s="4" t="str">
        <f>""</f>
        <v/>
      </c>
      <c r="I933" s="4" t="str">
        <f>""</f>
        <v/>
      </c>
    </row>
    <row r="934" spans="1:9" x14ac:dyDescent="0.3">
      <c r="A934" s="1" t="str">
        <f>"31"</f>
        <v>31</v>
      </c>
      <c r="B934" s="4" t="str">
        <f>"GARAGE INTERNATIONAL HERNANDEZ"</f>
        <v>GARAGE INTERNATIONAL HERNANDEZ</v>
      </c>
      <c r="C934" s="4">
        <v>402608418</v>
      </c>
      <c r="D934" s="3" t="s">
        <v>0</v>
      </c>
      <c r="E934" s="2" t="str">
        <f>"0006804720"</f>
        <v>0006804720</v>
      </c>
      <c r="F934" s="5">
        <v>43539</v>
      </c>
      <c r="G934" s="5">
        <v>54789</v>
      </c>
      <c r="H934" s="4" t="str">
        <f>""</f>
        <v/>
      </c>
      <c r="I934" s="4" t="str">
        <f>""</f>
        <v/>
      </c>
    </row>
    <row r="935" spans="1:9" x14ac:dyDescent="0.3">
      <c r="A935" s="1" t="str">
        <f>"31"</f>
        <v>31</v>
      </c>
      <c r="B935" s="4" t="str">
        <f>"SOCIETE DES ETABLISSEMENTS COMA RENE METAUX ET FILS"</f>
        <v>SOCIETE DES ETABLISSEMENTS COMA RENE METAUX ET FILS</v>
      </c>
      <c r="C935" s="4">
        <v>417601341</v>
      </c>
      <c r="D935" s="3" t="s">
        <v>0</v>
      </c>
      <c r="E935" s="2" t="str">
        <f>"PR3100024D"</f>
        <v>PR3100024D</v>
      </c>
      <c r="F935" s="5">
        <v>41848</v>
      </c>
      <c r="G935" s="5">
        <v>54789</v>
      </c>
      <c r="H935" s="4" t="str">
        <f>""</f>
        <v/>
      </c>
      <c r="I935" s="4" t="str">
        <f>""</f>
        <v/>
      </c>
    </row>
    <row r="936" spans="1:9" x14ac:dyDescent="0.3">
      <c r="A936" s="1" t="str">
        <f>"31"</f>
        <v>31</v>
      </c>
      <c r="B936" s="4" t="str">
        <f>"SOCIETE DES ETABLISSEMENTS COMA RENE METAUX ET FILS"</f>
        <v>SOCIETE DES ETABLISSEMENTS COMA RENE METAUX ET FILS</v>
      </c>
      <c r="C936" s="4">
        <v>417601341</v>
      </c>
      <c r="D936" s="3" t="s">
        <v>0</v>
      </c>
      <c r="E936" s="2" t="str">
        <f>"0006803071"</f>
        <v>0006803071</v>
      </c>
      <c r="F936" s="5">
        <v>41848</v>
      </c>
      <c r="G936" s="5">
        <v>54789</v>
      </c>
      <c r="H936" s="4" t="str">
        <f>""</f>
        <v/>
      </c>
      <c r="I936" s="4" t="str">
        <f>""</f>
        <v/>
      </c>
    </row>
    <row r="937" spans="1:9" x14ac:dyDescent="0.3">
      <c r="A937" s="1" t="str">
        <f>"31"</f>
        <v>31</v>
      </c>
      <c r="B937" s="4" t="str">
        <f>"EURO AUTOMOBILES"</f>
        <v>EURO AUTOMOBILES</v>
      </c>
      <c r="C937" s="4">
        <v>419863329</v>
      </c>
      <c r="D937" s="3" t="s">
        <v>0</v>
      </c>
      <c r="E937" s="2" t="str">
        <f>"PR3100011D"</f>
        <v>PR3100011D</v>
      </c>
      <c r="F937" s="5">
        <v>43588</v>
      </c>
      <c r="G937" s="5">
        <v>54789</v>
      </c>
      <c r="H937" s="4" t="str">
        <f>""</f>
        <v/>
      </c>
      <c r="I937" s="4" t="str">
        <f>""</f>
        <v/>
      </c>
    </row>
    <row r="938" spans="1:9" x14ac:dyDescent="0.3">
      <c r="A938" s="1" t="str">
        <f>"31"</f>
        <v>31</v>
      </c>
      <c r="B938" s="4" t="str">
        <f>"EURO AUTOMOBILES"</f>
        <v>EURO AUTOMOBILES</v>
      </c>
      <c r="C938" s="4">
        <v>419863329</v>
      </c>
      <c r="D938" s="3" t="s">
        <v>0</v>
      </c>
      <c r="E938" s="2" t="str">
        <f>"0006803986"</f>
        <v>0006803986</v>
      </c>
      <c r="F938" s="5">
        <v>43588</v>
      </c>
      <c r="G938" s="5">
        <v>54789</v>
      </c>
      <c r="H938" s="4" t="str">
        <f>""</f>
        <v/>
      </c>
      <c r="I938" s="4" t="str">
        <f>""</f>
        <v/>
      </c>
    </row>
    <row r="939" spans="1:9" x14ac:dyDescent="0.3">
      <c r="A939" s="1" t="str">
        <f>"31"</f>
        <v>31</v>
      </c>
      <c r="B939" s="4" t="str">
        <f>"SOCIETE POUX"</f>
        <v>SOCIETE POUX</v>
      </c>
      <c r="C939" s="4">
        <v>478921653</v>
      </c>
      <c r="D939" s="3" t="s">
        <v>0</v>
      </c>
      <c r="E939" s="2" t="str">
        <f>"PR3100039D"</f>
        <v>PR3100039D</v>
      </c>
      <c r="F939" s="5">
        <v>43670</v>
      </c>
      <c r="G939" s="5">
        <v>54789</v>
      </c>
      <c r="H939" s="4" t="str">
        <f>""</f>
        <v/>
      </c>
      <c r="I939" s="4" t="str">
        <f>""</f>
        <v/>
      </c>
    </row>
    <row r="940" spans="1:9" x14ac:dyDescent="0.3">
      <c r="A940" s="1" t="str">
        <f>"31"</f>
        <v>31</v>
      </c>
      <c r="B940" s="4" t="str">
        <f>"SOCIETE POUX"</f>
        <v>SOCIETE POUX</v>
      </c>
      <c r="C940" s="4">
        <v>478921653</v>
      </c>
      <c r="D940" s="3" t="s">
        <v>0</v>
      </c>
      <c r="E940" s="2" t="str">
        <f>"0003701973"</f>
        <v>0003701973</v>
      </c>
      <c r="F940" s="5">
        <v>43670</v>
      </c>
      <c r="G940" s="5">
        <v>54789</v>
      </c>
      <c r="H940" s="4" t="str">
        <f>""</f>
        <v/>
      </c>
      <c r="I940" s="4" t="str">
        <f>""</f>
        <v/>
      </c>
    </row>
    <row r="941" spans="1:9" x14ac:dyDescent="0.3">
      <c r="A941" s="1" t="str">
        <f>"31"</f>
        <v>31</v>
      </c>
      <c r="B941" s="4" t="str">
        <f>"COMMINGES METAUX SERVICES"</f>
        <v>COMMINGES METAUX SERVICES</v>
      </c>
      <c r="C941" s="4">
        <v>480519032</v>
      </c>
      <c r="D941" s="3" t="s">
        <v>0</v>
      </c>
      <c r="E941" s="2" t="str">
        <f>"PR3100006D"</f>
        <v>PR3100006D</v>
      </c>
      <c r="F941" s="5">
        <v>43260</v>
      </c>
      <c r="G941" s="5">
        <v>54789</v>
      </c>
      <c r="H941" s="4" t="str">
        <f>""</f>
        <v/>
      </c>
      <c r="I941" s="4" t="str">
        <f>""</f>
        <v/>
      </c>
    </row>
    <row r="942" spans="1:9" x14ac:dyDescent="0.3">
      <c r="A942" s="1" t="str">
        <f>"31"</f>
        <v>31</v>
      </c>
      <c r="B942" s="4" t="str">
        <f>"COMMINGES METAUX SERVICES"</f>
        <v>COMMINGES METAUX SERVICES</v>
      </c>
      <c r="C942" s="4">
        <v>480519032</v>
      </c>
      <c r="D942" s="3" t="s">
        <v>0</v>
      </c>
      <c r="E942" s="2" t="str">
        <f>"PR3100032D"</f>
        <v>PR3100032D</v>
      </c>
      <c r="F942" s="5">
        <v>43788</v>
      </c>
      <c r="G942" s="5">
        <v>54789</v>
      </c>
      <c r="H942" s="4" t="str">
        <f>""</f>
        <v/>
      </c>
      <c r="I942" s="4" t="str">
        <f>""</f>
        <v/>
      </c>
    </row>
    <row r="943" spans="1:9" x14ac:dyDescent="0.3">
      <c r="A943" s="1" t="str">
        <f>"31"</f>
        <v>31</v>
      </c>
      <c r="B943" s="4" t="str">
        <f>"COMMINGES METAUX SERVICES"</f>
        <v>COMMINGES METAUX SERVICES</v>
      </c>
      <c r="C943" s="4">
        <v>480519032</v>
      </c>
      <c r="D943" s="3" t="s">
        <v>0</v>
      </c>
      <c r="E943" s="2" t="str">
        <f>"00006802847"</f>
        <v>00006802847</v>
      </c>
      <c r="F943" s="5">
        <v>43260</v>
      </c>
      <c r="G943" s="5">
        <v>54789</v>
      </c>
      <c r="H943" s="4" t="str">
        <f>""</f>
        <v/>
      </c>
      <c r="I943" s="4" t="str">
        <f>""</f>
        <v/>
      </c>
    </row>
    <row r="944" spans="1:9" x14ac:dyDescent="0.3">
      <c r="A944" s="1" t="str">
        <f>"31"</f>
        <v>31</v>
      </c>
      <c r="B944" s="4" t="str">
        <f>"COMMINGES METAUX SERVICES"</f>
        <v>COMMINGES METAUX SERVICES</v>
      </c>
      <c r="C944" s="4">
        <v>480519032</v>
      </c>
      <c r="D944" s="3" t="s">
        <v>0</v>
      </c>
      <c r="E944" s="2" t="str">
        <f>"0006803988"</f>
        <v>0006803988</v>
      </c>
      <c r="F944" s="5">
        <v>43788</v>
      </c>
      <c r="G944" s="5">
        <v>54789</v>
      </c>
      <c r="H944" s="4" t="str">
        <f>""</f>
        <v/>
      </c>
      <c r="I944" s="4" t="str">
        <f>""</f>
        <v/>
      </c>
    </row>
    <row r="945" spans="1:9" x14ac:dyDescent="0.3">
      <c r="A945" s="1" t="str">
        <f>"31"</f>
        <v>31</v>
      </c>
      <c r="B945" s="4" t="str">
        <f>"CAZENAVE PIECES AUTO"</f>
        <v>CAZENAVE PIECES AUTO</v>
      </c>
      <c r="C945" s="4">
        <v>487469363</v>
      </c>
      <c r="D945" s="3" t="s">
        <v>0</v>
      </c>
      <c r="E945" s="2" t="str">
        <f>"PR3100043D"</f>
        <v>PR3100043D</v>
      </c>
      <c r="F945" s="5">
        <v>44644</v>
      </c>
      <c r="G945" s="5">
        <v>54789</v>
      </c>
      <c r="H945" s="4" t="str">
        <f>""</f>
        <v/>
      </c>
      <c r="I945" s="4" t="str">
        <f>""</f>
        <v/>
      </c>
    </row>
    <row r="946" spans="1:9" x14ac:dyDescent="0.3">
      <c r="A946" s="1" t="str">
        <f>"31"</f>
        <v>31</v>
      </c>
      <c r="B946" s="4" t="str">
        <f>"CAZENAVE PIECES AUTO"</f>
        <v>CAZENAVE PIECES AUTO</v>
      </c>
      <c r="C946" s="4">
        <v>487469363</v>
      </c>
      <c r="D946" s="3" t="s">
        <v>0</v>
      </c>
      <c r="E946" s="2" t="str">
        <f>"0003700769"</f>
        <v>0003700769</v>
      </c>
      <c r="F946" s="5">
        <v>44644</v>
      </c>
      <c r="G946" s="5">
        <v>54789</v>
      </c>
      <c r="H946" s="4" t="str">
        <f>""</f>
        <v/>
      </c>
      <c r="I946" s="4" t="str">
        <f>""</f>
        <v/>
      </c>
    </row>
    <row r="947" spans="1:9" x14ac:dyDescent="0.3">
      <c r="A947" s="1" t="str">
        <f>"31"</f>
        <v>31</v>
      </c>
      <c r="B947" s="4" t="str">
        <f>"DONNEVILLE CASSE AUTO"</f>
        <v>DONNEVILLE CASSE AUTO</v>
      </c>
      <c r="C947" s="4">
        <v>499955599</v>
      </c>
      <c r="D947" s="3" t="s">
        <v>0</v>
      </c>
      <c r="E947" s="2" t="str">
        <f>"PR3100025D"</f>
        <v>PR3100025D</v>
      </c>
      <c r="F947" s="5">
        <v>42293</v>
      </c>
      <c r="G947" s="5">
        <v>54789</v>
      </c>
      <c r="H947" s="4" t="str">
        <f>""</f>
        <v/>
      </c>
      <c r="I947" s="4" t="str">
        <f>""</f>
        <v/>
      </c>
    </row>
    <row r="948" spans="1:9" x14ac:dyDescent="0.3">
      <c r="A948" s="1" t="str">
        <f>"31"</f>
        <v>31</v>
      </c>
      <c r="B948" s="4" t="str">
        <f>"DONNEVILLE CASSE AUTO"</f>
        <v>DONNEVILLE CASSE AUTO</v>
      </c>
      <c r="C948" s="4">
        <v>499955599</v>
      </c>
      <c r="D948" s="3" t="s">
        <v>0</v>
      </c>
      <c r="E948" s="2" t="str">
        <f>"0006803391"</f>
        <v>0006803391</v>
      </c>
      <c r="F948" s="5">
        <v>42293</v>
      </c>
      <c r="G948" s="5">
        <v>54789</v>
      </c>
      <c r="H948" s="4" t="str">
        <f>""</f>
        <v/>
      </c>
      <c r="I948" s="4" t="str">
        <f>""</f>
        <v/>
      </c>
    </row>
    <row r="949" spans="1:9" x14ac:dyDescent="0.3">
      <c r="A949" s="1" t="str">
        <f>"31"</f>
        <v>31</v>
      </c>
      <c r="B949" s="4" t="str">
        <f>"LEPINAY"</f>
        <v>LEPINAY</v>
      </c>
      <c r="C949" s="4">
        <v>511344681</v>
      </c>
      <c r="D949" s="3" t="s">
        <v>0</v>
      </c>
      <c r="E949" s="2" t="str">
        <f>"PR3100026D"</f>
        <v>PR3100026D</v>
      </c>
      <c r="F949" s="5">
        <v>42305</v>
      </c>
      <c r="G949" s="5">
        <v>54789</v>
      </c>
      <c r="H949" s="4" t="str">
        <f>""</f>
        <v/>
      </c>
      <c r="I949" s="4" t="str">
        <f>""</f>
        <v/>
      </c>
    </row>
    <row r="950" spans="1:9" x14ac:dyDescent="0.3">
      <c r="A950" s="1" t="str">
        <f>"31"</f>
        <v>31</v>
      </c>
      <c r="B950" s="4" t="str">
        <f>"LEPINAY"</f>
        <v>LEPINAY</v>
      </c>
      <c r="C950" s="4">
        <v>511344681</v>
      </c>
      <c r="D950" s="3" t="s">
        <v>0</v>
      </c>
      <c r="E950" s="2" t="str">
        <f>"0006803105"</f>
        <v>0006803105</v>
      </c>
      <c r="F950" s="5">
        <v>42305</v>
      </c>
      <c r="G950" s="5">
        <v>54789</v>
      </c>
      <c r="H950" s="4" t="str">
        <f>""</f>
        <v/>
      </c>
      <c r="I950" s="4" t="str">
        <f>""</f>
        <v/>
      </c>
    </row>
    <row r="951" spans="1:9" x14ac:dyDescent="0.3">
      <c r="A951" s="1" t="str">
        <f>"31"</f>
        <v>31</v>
      </c>
      <c r="B951" s="4" t="str">
        <f>"ETABLISSEMENTS NADAL"</f>
        <v>ETABLISSEMENTS NADAL</v>
      </c>
      <c r="C951" s="4">
        <v>570800631</v>
      </c>
      <c r="D951" s="3" t="s">
        <v>0</v>
      </c>
      <c r="E951" s="2" t="str">
        <f>"PR3100022D"</f>
        <v>PR3100022D</v>
      </c>
      <c r="F951" s="5">
        <v>43811</v>
      </c>
      <c r="G951" s="5">
        <v>54789</v>
      </c>
      <c r="H951" s="4" t="str">
        <f>""</f>
        <v/>
      </c>
      <c r="I951" s="4" t="str">
        <f>""</f>
        <v/>
      </c>
    </row>
    <row r="952" spans="1:9" x14ac:dyDescent="0.3">
      <c r="A952" s="1" t="str">
        <f>"31"</f>
        <v>31</v>
      </c>
      <c r="B952" s="4" t="str">
        <f>"ETABLISSEMENTS NADAL"</f>
        <v>ETABLISSEMENTS NADAL</v>
      </c>
      <c r="C952" s="4">
        <v>570800631</v>
      </c>
      <c r="D952" s="3" t="s">
        <v>0</v>
      </c>
      <c r="E952" s="2" t="str">
        <f>"0006804927"</f>
        <v>0006804927</v>
      </c>
      <c r="F952" s="5">
        <v>43811</v>
      </c>
      <c r="G952" s="5">
        <v>54789</v>
      </c>
      <c r="H952" s="4" t="str">
        <f>""</f>
        <v/>
      </c>
      <c r="I952" s="4" t="str">
        <f>""</f>
        <v/>
      </c>
    </row>
    <row r="953" spans="1:9" x14ac:dyDescent="0.3">
      <c r="A953" s="1" t="str">
        <f>"31"</f>
        <v>31</v>
      </c>
      <c r="B953" s="4" t="str">
        <f>"SUD OUEST AUTOMOBILES"</f>
        <v>SUD OUEST AUTOMOBILES</v>
      </c>
      <c r="C953" s="4">
        <v>720800333</v>
      </c>
      <c r="D953" s="3" t="s">
        <v>0</v>
      </c>
      <c r="E953" s="2" t="str">
        <f>"PR3100018D"</f>
        <v>PR3100018D</v>
      </c>
      <c r="F953" s="5">
        <v>43815</v>
      </c>
      <c r="G953" s="5">
        <v>54789</v>
      </c>
      <c r="H953" s="4" t="str">
        <f>""</f>
        <v/>
      </c>
      <c r="I953" s="4" t="str">
        <f>""</f>
        <v/>
      </c>
    </row>
    <row r="954" spans="1:9" x14ac:dyDescent="0.3">
      <c r="A954" s="1" t="str">
        <f>"31"</f>
        <v>31</v>
      </c>
      <c r="B954" s="4" t="str">
        <f>"SUD OUEST AUTOMOBILES"</f>
        <v>SUD OUEST AUTOMOBILES</v>
      </c>
      <c r="C954" s="4">
        <v>720800333</v>
      </c>
      <c r="D954" s="3" t="s">
        <v>0</v>
      </c>
      <c r="E954" s="2" t="str">
        <f>"0006805970"</f>
        <v>0006805970</v>
      </c>
      <c r="F954" s="5">
        <v>43815</v>
      </c>
      <c r="G954" s="5">
        <v>54789</v>
      </c>
      <c r="H954" s="4" t="str">
        <f>""</f>
        <v/>
      </c>
      <c r="I954" s="4" t="str">
        <f>""</f>
        <v/>
      </c>
    </row>
    <row r="955" spans="1:9" x14ac:dyDescent="0.3">
      <c r="A955" s="1" t="str">
        <f>"31"</f>
        <v>31</v>
      </c>
      <c r="B955" s="4" t="str">
        <f>"DEMOLITION AUTOMOBILE"</f>
        <v>DEMOLITION AUTOMOBILE</v>
      </c>
      <c r="C955" s="4">
        <v>817655095</v>
      </c>
      <c r="D955" s="3" t="s">
        <v>0</v>
      </c>
      <c r="E955" s="2" t="str">
        <f>"PR3100010D"</f>
        <v>PR3100010D</v>
      </c>
      <c r="F955" s="5">
        <v>43546</v>
      </c>
      <c r="G955" s="5">
        <v>54789</v>
      </c>
      <c r="H955" s="4" t="str">
        <f>""</f>
        <v/>
      </c>
      <c r="I955" s="4" t="str">
        <f>""</f>
        <v/>
      </c>
    </row>
    <row r="956" spans="1:9" x14ac:dyDescent="0.3">
      <c r="A956" s="1" t="str">
        <f>"31"</f>
        <v>31</v>
      </c>
      <c r="B956" s="4" t="str">
        <f>"DEMOLITION AUTOMOBILE"</f>
        <v>DEMOLITION AUTOMOBILE</v>
      </c>
      <c r="C956" s="4">
        <v>817655095</v>
      </c>
      <c r="D956" s="3" t="s">
        <v>0</v>
      </c>
      <c r="E956" s="2" t="str">
        <f>"0006803078"</f>
        <v>0006803078</v>
      </c>
      <c r="F956" s="5">
        <v>43546</v>
      </c>
      <c r="G956" s="5">
        <v>54789</v>
      </c>
      <c r="H956" s="4" t="str">
        <f>""</f>
        <v/>
      </c>
      <c r="I956" s="4" t="str">
        <f>""</f>
        <v/>
      </c>
    </row>
    <row r="957" spans="1:9" x14ac:dyDescent="0.3">
      <c r="A957" s="1" t="str">
        <f>"31"</f>
        <v>31</v>
      </c>
      <c r="B957" s="4" t="str">
        <f>"CHOC AUTO"</f>
        <v>CHOC AUTO</v>
      </c>
      <c r="C957" s="4">
        <v>827501446</v>
      </c>
      <c r="D957" s="3" t="s">
        <v>0</v>
      </c>
      <c r="E957" s="2" t="str">
        <f>"PR3100041D"</f>
        <v>PR3100041D</v>
      </c>
      <c r="F957" s="5">
        <v>44861</v>
      </c>
      <c r="G957" s="5">
        <v>54789</v>
      </c>
      <c r="H957" s="4" t="str">
        <f>""</f>
        <v/>
      </c>
      <c r="I957" s="4" t="str">
        <f>""</f>
        <v/>
      </c>
    </row>
    <row r="958" spans="1:9" x14ac:dyDescent="0.3">
      <c r="A958" s="1" t="str">
        <f>"31"</f>
        <v>31</v>
      </c>
      <c r="B958" s="4" t="str">
        <f>"CHOC AUTO"</f>
        <v>CHOC AUTO</v>
      </c>
      <c r="C958" s="4">
        <v>827501446</v>
      </c>
      <c r="D958" s="3" t="s">
        <v>0</v>
      </c>
      <c r="E958" s="2" t="str">
        <f>"0100003019"</f>
        <v>0100003019</v>
      </c>
      <c r="F958" s="5">
        <v>44861</v>
      </c>
      <c r="G958" s="5">
        <v>54789</v>
      </c>
      <c r="H958" s="4" t="str">
        <f>""</f>
        <v/>
      </c>
      <c r="I958" s="4" t="str">
        <f>""</f>
        <v/>
      </c>
    </row>
    <row r="959" spans="1:9" x14ac:dyDescent="0.3">
      <c r="A959" s="1" t="str">
        <f>"31"</f>
        <v>31</v>
      </c>
      <c r="B959" s="4" t="str">
        <f>"WALTER RECYCLAGE"</f>
        <v>WALTER RECYCLAGE</v>
      </c>
      <c r="C959" s="4">
        <v>828619965</v>
      </c>
      <c r="D959" s="3" t="s">
        <v>0</v>
      </c>
      <c r="E959" s="2" t="str">
        <f>"PR3100038D"</f>
        <v>PR3100038D</v>
      </c>
      <c r="F959" s="5">
        <v>43516</v>
      </c>
      <c r="G959" s="5">
        <v>54789</v>
      </c>
      <c r="H959" s="4" t="str">
        <f>""</f>
        <v/>
      </c>
      <c r="I959" s="4" t="str">
        <f>""</f>
        <v/>
      </c>
    </row>
    <row r="960" spans="1:9" x14ac:dyDescent="0.3">
      <c r="A960" s="1" t="str">
        <f>"31"</f>
        <v>31</v>
      </c>
      <c r="B960" s="4" t="str">
        <f>"WALTER RECYCLAGE"</f>
        <v>WALTER RECYCLAGE</v>
      </c>
      <c r="C960" s="4">
        <v>828619965</v>
      </c>
      <c r="D960" s="3" t="s">
        <v>0</v>
      </c>
      <c r="E960" s="2" t="str">
        <f>"0006810606"</f>
        <v>0006810606</v>
      </c>
      <c r="F960" s="5">
        <v>43516</v>
      </c>
      <c r="G960" s="5">
        <v>54789</v>
      </c>
      <c r="H960" s="4" t="str">
        <f>""</f>
        <v/>
      </c>
      <c r="I960" s="4" t="str">
        <f>""</f>
        <v/>
      </c>
    </row>
    <row r="961" spans="1:9" x14ac:dyDescent="0.3">
      <c r="A961" s="1" t="str">
        <f>"31"</f>
        <v>31</v>
      </c>
      <c r="B961" s="4" t="str">
        <f>"DECONS OCCITANIE"</f>
        <v>DECONS OCCITANIE</v>
      </c>
      <c r="C961" s="4">
        <v>832222541</v>
      </c>
      <c r="D961" s="3" t="s">
        <v>0</v>
      </c>
      <c r="E961" s="2" t="str">
        <f>"PR3100034D"</f>
        <v>PR3100034D</v>
      </c>
      <c r="F961" s="5">
        <v>43404</v>
      </c>
      <c r="G961" s="5">
        <v>54789</v>
      </c>
      <c r="H961" s="4" t="str">
        <f>""</f>
        <v/>
      </c>
      <c r="I961" s="4" t="str">
        <f>""</f>
        <v/>
      </c>
    </row>
    <row r="962" spans="1:9" x14ac:dyDescent="0.3">
      <c r="A962" s="1" t="str">
        <f>"31"</f>
        <v>31</v>
      </c>
      <c r="B962" s="4" t="str">
        <f>"DECONS OCCITANIE"</f>
        <v>DECONS OCCITANIE</v>
      </c>
      <c r="C962" s="4">
        <v>832222541</v>
      </c>
      <c r="D962" s="3" t="s">
        <v>0</v>
      </c>
      <c r="E962" s="2" t="str">
        <f>"PR3100035D"</f>
        <v>PR3100035D</v>
      </c>
      <c r="F962" s="5">
        <v>43404</v>
      </c>
      <c r="G962" s="5">
        <v>54789</v>
      </c>
      <c r="H962" s="4" t="str">
        <f>""</f>
        <v/>
      </c>
      <c r="I962" s="4" t="str">
        <f>""</f>
        <v/>
      </c>
    </row>
    <row r="963" spans="1:9" x14ac:dyDescent="0.3">
      <c r="A963" s="1" t="str">
        <f>"31"</f>
        <v>31</v>
      </c>
      <c r="B963" s="4" t="str">
        <f>"DECONS OCCITANIE"</f>
        <v>DECONS OCCITANIE</v>
      </c>
      <c r="C963" s="4">
        <v>832222541</v>
      </c>
      <c r="D963" s="3" t="s">
        <v>0</v>
      </c>
      <c r="E963" s="2" t="str">
        <f>"0006804729"</f>
        <v>0006804729</v>
      </c>
      <c r="F963" s="5">
        <v>43404</v>
      </c>
      <c r="G963" s="5">
        <v>54789</v>
      </c>
      <c r="H963" s="4" t="str">
        <f>""</f>
        <v/>
      </c>
      <c r="I963" s="4" t="str">
        <f>""</f>
        <v/>
      </c>
    </row>
    <row r="964" spans="1:9" x14ac:dyDescent="0.3">
      <c r="A964" s="1" t="str">
        <f>"31"</f>
        <v>31</v>
      </c>
      <c r="B964" s="4" t="str">
        <f>"DECONS OCCITANIE"</f>
        <v>DECONS OCCITANIE</v>
      </c>
      <c r="C964" s="4">
        <v>832222541</v>
      </c>
      <c r="D964" s="3" t="s">
        <v>0</v>
      </c>
      <c r="E964" s="2" t="str">
        <f>"0006804630"</f>
        <v>0006804630</v>
      </c>
      <c r="F964" s="5">
        <v>43404</v>
      </c>
      <c r="G964" s="5">
        <v>54789</v>
      </c>
      <c r="H964" s="4" t="str">
        <f>""</f>
        <v/>
      </c>
      <c r="I964" s="4" t="str">
        <f>""</f>
        <v/>
      </c>
    </row>
    <row r="965" spans="1:9" x14ac:dyDescent="0.3">
      <c r="A965" s="1" t="str">
        <f>"31"</f>
        <v>31</v>
      </c>
      <c r="B965" s="4" t="str">
        <f>"SENA RECUPERATION AUTOMOBILES"</f>
        <v>SENA RECUPERATION AUTOMOBILES</v>
      </c>
      <c r="C965" s="4">
        <v>840607691</v>
      </c>
      <c r="D965" s="3" t="s">
        <v>0</v>
      </c>
      <c r="E965" s="2" t="str">
        <f>"PR3100036D"</f>
        <v>PR3100036D</v>
      </c>
      <c r="F965" s="5">
        <v>43373</v>
      </c>
      <c r="G965" s="5">
        <v>54789</v>
      </c>
      <c r="H965" s="4" t="str">
        <f>""</f>
        <v/>
      </c>
      <c r="I965" s="4" t="str">
        <f>""</f>
        <v/>
      </c>
    </row>
    <row r="966" spans="1:9" x14ac:dyDescent="0.3">
      <c r="A966" s="1" t="str">
        <f>"31"</f>
        <v>31</v>
      </c>
      <c r="B966" s="4" t="str">
        <f>"SENA RECUPERATION AUTOMOBILES"</f>
        <v>SENA RECUPERATION AUTOMOBILES</v>
      </c>
      <c r="C966" s="4">
        <v>840607691</v>
      </c>
      <c r="D966" s="3" t="s">
        <v>0</v>
      </c>
      <c r="E966" s="2" t="str">
        <f>"0006803881"</f>
        <v>0006803881</v>
      </c>
      <c r="F966" s="5">
        <v>43373</v>
      </c>
      <c r="G966" s="5">
        <v>54789</v>
      </c>
      <c r="H966" s="4" t="str">
        <f>""</f>
        <v/>
      </c>
      <c r="I966" s="4" t="str">
        <f>""</f>
        <v/>
      </c>
    </row>
    <row r="967" spans="1:9" x14ac:dyDescent="0.3">
      <c r="A967" s="1" t="str">
        <f>"31"</f>
        <v>31</v>
      </c>
      <c r="B967" s="4" t="str">
        <f>"DEPANN¿AUTO31"</f>
        <v>DEPANN¿AUTO31</v>
      </c>
      <c r="C967" s="4">
        <v>884391855</v>
      </c>
      <c r="D967" s="3" t="s">
        <v>0</v>
      </c>
      <c r="E967" s="2" t="str">
        <f>"PR3100009D"</f>
        <v>PR3100009D</v>
      </c>
      <c r="F967" s="5">
        <v>43546</v>
      </c>
      <c r="G967" s="5">
        <v>54789</v>
      </c>
      <c r="H967" s="4" t="str">
        <f>""</f>
        <v/>
      </c>
      <c r="I967" s="4" t="str">
        <f>""</f>
        <v/>
      </c>
    </row>
    <row r="968" spans="1:9" x14ac:dyDescent="0.3">
      <c r="A968" s="1" t="str">
        <f>"31"</f>
        <v>31</v>
      </c>
      <c r="B968" s="4" t="str">
        <f>"DEPANN¿AUTO31"</f>
        <v>DEPANN¿AUTO31</v>
      </c>
      <c r="C968" s="4">
        <v>884391855</v>
      </c>
      <c r="D968" s="3" t="s">
        <v>0</v>
      </c>
      <c r="E968" s="2" t="str">
        <f>"0006802943"</f>
        <v>0006802943</v>
      </c>
      <c r="F968" s="5">
        <v>43546</v>
      </c>
      <c r="G968" s="5">
        <v>54789</v>
      </c>
      <c r="H968" s="4" t="str">
        <f>""</f>
        <v/>
      </c>
      <c r="I968" s="4" t="str">
        <f>""</f>
        <v/>
      </c>
    </row>
    <row r="969" spans="1:9" x14ac:dyDescent="0.3">
      <c r="A969" s="1" t="str">
        <f>"31"</f>
        <v>31</v>
      </c>
      <c r="B969" s="4" t="str">
        <f>"K&amp;M Auto"</f>
        <v>K&amp;M Auto</v>
      </c>
      <c r="C969" s="4">
        <v>902803337</v>
      </c>
      <c r="D969" s="3" t="s">
        <v>0</v>
      </c>
      <c r="E969" s="2" t="str">
        <f>"PR3100044D"</f>
        <v>PR3100044D</v>
      </c>
      <c r="F969" s="5">
        <v>44949</v>
      </c>
      <c r="G969" s="5">
        <v>54789</v>
      </c>
      <c r="H969" s="4" t="str">
        <f>""</f>
        <v/>
      </c>
      <c r="I969" s="4" t="str">
        <f>""</f>
        <v/>
      </c>
    </row>
    <row r="970" spans="1:9" x14ac:dyDescent="0.3">
      <c r="A970" s="1" t="str">
        <f>"31"</f>
        <v>31</v>
      </c>
      <c r="B970" s="4" t="str">
        <f>"K&amp;M Auto"</f>
        <v>K&amp;M Auto</v>
      </c>
      <c r="C970" s="4">
        <v>902803337</v>
      </c>
      <c r="D970" s="3" t="s">
        <v>0</v>
      </c>
      <c r="E970" s="2" t="str">
        <f>"0003701774"</f>
        <v>0003701774</v>
      </c>
      <c r="F970" s="5">
        <v>44949</v>
      </c>
      <c r="G970" s="5">
        <v>54789</v>
      </c>
      <c r="H970" s="4" t="str">
        <f>""</f>
        <v/>
      </c>
      <c r="I970" s="4" t="str">
        <f>""</f>
        <v/>
      </c>
    </row>
    <row r="971" spans="1:9" x14ac:dyDescent="0.3">
      <c r="A971" s="1" t="str">
        <f>"31"</f>
        <v>31</v>
      </c>
      <c r="B971" s="4" t="str">
        <f>"CRL OCCITANIE"</f>
        <v>CRL OCCITANIE</v>
      </c>
      <c r="C971" s="4">
        <v>920865409</v>
      </c>
      <c r="D971" s="3" t="s">
        <v>0</v>
      </c>
      <c r="E971" s="2" t="str">
        <f>"PR3100045D"</f>
        <v>PR3100045D</v>
      </c>
      <c r="F971" s="5">
        <v>44979</v>
      </c>
      <c r="G971" s="5">
        <v>54789</v>
      </c>
      <c r="H971" s="4" t="str">
        <f>""</f>
        <v/>
      </c>
      <c r="I971" s="4" t="str">
        <f>""</f>
        <v/>
      </c>
    </row>
    <row r="972" spans="1:9" x14ac:dyDescent="0.3">
      <c r="A972" s="1" t="str">
        <f>"31"</f>
        <v>31</v>
      </c>
      <c r="B972" s="4" t="str">
        <f>"CRL OCCITANIE"</f>
        <v>CRL OCCITANIE</v>
      </c>
      <c r="C972" s="4">
        <v>920865409</v>
      </c>
      <c r="D972" s="3" t="s">
        <v>0</v>
      </c>
      <c r="E972" s="2" t="str">
        <f>"0006802940"</f>
        <v>0006802940</v>
      </c>
      <c r="F972" s="5">
        <v>44979</v>
      </c>
      <c r="G972" s="5">
        <v>54789</v>
      </c>
      <c r="H972" s="4" t="str">
        <f>""</f>
        <v/>
      </c>
      <c r="I972" s="4" t="str">
        <f>""</f>
        <v/>
      </c>
    </row>
    <row r="973" spans="1:9" x14ac:dyDescent="0.3">
      <c r="A973" s="1" t="str">
        <f>"32"</f>
        <v>32</v>
      </c>
      <c r="B973" s="4" t="str">
        <f>"LLAU JEAN JACQUES RENE"</f>
        <v>LLAU JEAN JACQUES RENE</v>
      </c>
      <c r="C973" s="4">
        <v>339547762</v>
      </c>
      <c r="D973" s="3" t="s">
        <v>0</v>
      </c>
      <c r="E973" s="2" t="str">
        <f>"PR32000010D"</f>
        <v>PR32000010D</v>
      </c>
      <c r="F973" s="5">
        <v>41568</v>
      </c>
      <c r="G973" s="5">
        <v>54789</v>
      </c>
      <c r="H973" s="4" t="str">
        <f>""</f>
        <v/>
      </c>
      <c r="I973" s="4" t="str">
        <f>""</f>
        <v/>
      </c>
    </row>
    <row r="974" spans="1:9" x14ac:dyDescent="0.3">
      <c r="A974" s="1" t="str">
        <f>"32"</f>
        <v>32</v>
      </c>
      <c r="B974" s="4" t="str">
        <f>"LLAU JEAN JACQUES RENE"</f>
        <v>LLAU JEAN JACQUES RENE</v>
      </c>
      <c r="C974" s="4">
        <v>339547762</v>
      </c>
      <c r="D974" s="3" t="s">
        <v>0</v>
      </c>
      <c r="E974" s="2" t="str">
        <f>"0006803276"</f>
        <v>0006803276</v>
      </c>
      <c r="F974" s="5">
        <v>41568</v>
      </c>
      <c r="G974" s="5">
        <v>54789</v>
      </c>
      <c r="H974" s="4" t="str">
        <f>""</f>
        <v/>
      </c>
      <c r="I974" s="4" t="str">
        <f>""</f>
        <v/>
      </c>
    </row>
    <row r="975" spans="1:9" x14ac:dyDescent="0.3">
      <c r="A975" s="1" t="str">
        <f>"32"</f>
        <v>32</v>
      </c>
      <c r="B975" s="4" t="str">
        <f>"SARL CASSE AUTO GIMONTOISE"</f>
        <v>SARL CASSE AUTO GIMONTOISE</v>
      </c>
      <c r="C975" s="4">
        <v>339770562</v>
      </c>
      <c r="D975" s="3" t="s">
        <v>0</v>
      </c>
      <c r="E975" s="2" t="str">
        <f>"PR3200004D"</f>
        <v>PR3200004D</v>
      </c>
      <c r="F975" s="5">
        <v>38908</v>
      </c>
      <c r="G975" s="5">
        <v>54789</v>
      </c>
      <c r="H975" s="4" t="str">
        <f>""</f>
        <v/>
      </c>
      <c r="I975" s="4" t="str">
        <f>""</f>
        <v/>
      </c>
    </row>
    <row r="976" spans="1:9" x14ac:dyDescent="0.3">
      <c r="A976" s="1" t="str">
        <f>"32"</f>
        <v>32</v>
      </c>
      <c r="B976" s="4" t="str">
        <f>"SARL CASSE AUTO GIMONTOISE"</f>
        <v>SARL CASSE AUTO GIMONTOISE</v>
      </c>
      <c r="C976" s="4">
        <v>339770562</v>
      </c>
      <c r="D976" s="3" t="s">
        <v>0</v>
      </c>
      <c r="E976" s="2" t="str">
        <f>"0006804883"</f>
        <v>0006804883</v>
      </c>
      <c r="F976" s="5">
        <v>38908</v>
      </c>
      <c r="G976" s="5">
        <v>54789</v>
      </c>
      <c r="H976" s="4" t="str">
        <f>""</f>
        <v/>
      </c>
      <c r="I976" s="4" t="str">
        <f>""</f>
        <v/>
      </c>
    </row>
    <row r="977" spans="1:9" x14ac:dyDescent="0.3">
      <c r="A977" s="1" t="str">
        <f>"32"</f>
        <v>32</v>
      </c>
      <c r="B977" s="4" t="str">
        <f>"J AUTOCASS"</f>
        <v>J AUTOCASS</v>
      </c>
      <c r="C977" s="4">
        <v>349954198</v>
      </c>
      <c r="D977" s="3" t="s">
        <v>0</v>
      </c>
      <c r="E977" s="2" t="str">
        <f>"PR3200008D"</f>
        <v>PR3200008D</v>
      </c>
      <c r="F977" s="5">
        <v>39042</v>
      </c>
      <c r="G977" s="5">
        <v>54789</v>
      </c>
      <c r="H977" s="4" t="str">
        <f>""</f>
        <v/>
      </c>
      <c r="I977" s="4" t="str">
        <f>""</f>
        <v/>
      </c>
    </row>
    <row r="978" spans="1:9" x14ac:dyDescent="0.3">
      <c r="A978" s="1" t="str">
        <f>"32"</f>
        <v>32</v>
      </c>
      <c r="B978" s="4" t="str">
        <f>"J AUTOCASS"</f>
        <v>J AUTOCASS</v>
      </c>
      <c r="C978" s="4">
        <v>349954198</v>
      </c>
      <c r="D978" s="3" t="s">
        <v>0</v>
      </c>
      <c r="E978" s="2" t="str">
        <f>"0006803275"</f>
        <v>0006803275</v>
      </c>
      <c r="F978" s="5">
        <v>39042</v>
      </c>
      <c r="G978" s="5">
        <v>54789</v>
      </c>
      <c r="H978" s="4" t="str">
        <f>""</f>
        <v/>
      </c>
      <c r="I978" s="4" t="str">
        <f>""</f>
        <v/>
      </c>
    </row>
    <row r="979" spans="1:9" x14ac:dyDescent="0.3">
      <c r="A979" s="1" t="str">
        <f>"32"</f>
        <v>32</v>
      </c>
      <c r="B979" s="4" t="str">
        <f>"ETS VIU SARL"</f>
        <v>ETS VIU SARL</v>
      </c>
      <c r="C979" s="4">
        <v>378528194</v>
      </c>
      <c r="D979" s="3" t="s">
        <v>0</v>
      </c>
      <c r="E979" s="2" t="str">
        <f>"PR3200003D"</f>
        <v>PR3200003D</v>
      </c>
      <c r="F979" s="5">
        <v>38908</v>
      </c>
      <c r="G979" s="5">
        <v>54789</v>
      </c>
      <c r="H979" s="4" t="str">
        <f>""</f>
        <v/>
      </c>
      <c r="I979" s="4" t="str">
        <f>""</f>
        <v/>
      </c>
    </row>
    <row r="980" spans="1:9" x14ac:dyDescent="0.3">
      <c r="A980" s="1" t="str">
        <f>"32"</f>
        <v>32</v>
      </c>
      <c r="B980" s="4" t="str">
        <f>"ETS VIU SARL"</f>
        <v>ETS VIU SARL</v>
      </c>
      <c r="C980" s="4">
        <v>378528194</v>
      </c>
      <c r="D980" s="3" t="s">
        <v>0</v>
      </c>
      <c r="E980" s="2" t="str">
        <f>"0006803345"</f>
        <v>0006803345</v>
      </c>
      <c r="F980" s="5">
        <v>38908</v>
      </c>
      <c r="G980" s="5">
        <v>54789</v>
      </c>
      <c r="H980" s="4" t="str">
        <f>""</f>
        <v/>
      </c>
      <c r="I980" s="4" t="str">
        <f>""</f>
        <v/>
      </c>
    </row>
    <row r="981" spans="1:9" x14ac:dyDescent="0.3">
      <c r="A981" s="1" t="str">
        <f>"32"</f>
        <v>32</v>
      </c>
      <c r="B981" s="4" t="str">
        <f>"TACOT 32 SARL"</f>
        <v>TACOT 32 SARL</v>
      </c>
      <c r="C981" s="4">
        <v>380338426</v>
      </c>
      <c r="D981" s="3" t="s">
        <v>0</v>
      </c>
      <c r="E981" s="2" t="str">
        <f>"PR3200005D"</f>
        <v>PR3200005D</v>
      </c>
      <c r="F981" s="5">
        <v>38908</v>
      </c>
      <c r="G981" s="5">
        <v>54789</v>
      </c>
      <c r="H981" s="4" t="str">
        <f>""</f>
        <v/>
      </c>
      <c r="I981" s="4" t="str">
        <f>""</f>
        <v/>
      </c>
    </row>
    <row r="982" spans="1:9" x14ac:dyDescent="0.3">
      <c r="A982" s="1" t="str">
        <f>"32"</f>
        <v>32</v>
      </c>
      <c r="B982" s="4" t="str">
        <f>"TACOT 32 SARL"</f>
        <v>TACOT 32 SARL</v>
      </c>
      <c r="C982" s="4">
        <v>380338426</v>
      </c>
      <c r="D982" s="3" t="s">
        <v>0</v>
      </c>
      <c r="E982" s="2" t="str">
        <f>"0006803281"</f>
        <v>0006803281</v>
      </c>
      <c r="F982" s="5">
        <v>38908</v>
      </c>
      <c r="G982" s="5">
        <v>54789</v>
      </c>
      <c r="H982" s="4" t="str">
        <f>""</f>
        <v/>
      </c>
      <c r="I982" s="4" t="str">
        <f>""</f>
        <v/>
      </c>
    </row>
    <row r="983" spans="1:9" x14ac:dyDescent="0.3">
      <c r="A983" s="1" t="str">
        <f>"32"</f>
        <v>32</v>
      </c>
      <c r="B983" s="4" t="str">
        <f>"ETS DUCOURNAU PATRICK"</f>
        <v>ETS DUCOURNAU PATRICK</v>
      </c>
      <c r="C983" s="4">
        <v>409048808</v>
      </c>
      <c r="D983" s="3" t="s">
        <v>0</v>
      </c>
      <c r="E983" s="2" t="str">
        <f>"PR3200006D"</f>
        <v>PR3200006D</v>
      </c>
      <c r="F983" s="5">
        <v>39031</v>
      </c>
      <c r="G983" s="5">
        <v>54789</v>
      </c>
      <c r="H983" s="4" t="str">
        <f>""</f>
        <v/>
      </c>
      <c r="I983" s="4" t="str">
        <f>""</f>
        <v/>
      </c>
    </row>
    <row r="984" spans="1:9" x14ac:dyDescent="0.3">
      <c r="A984" s="1" t="str">
        <f>"32"</f>
        <v>32</v>
      </c>
      <c r="B984" s="4" t="str">
        <f>"ETS DUCOURNAU PATRICK"</f>
        <v>ETS DUCOURNAU PATRICK</v>
      </c>
      <c r="C984" s="4">
        <v>409048808</v>
      </c>
      <c r="D984" s="3" t="s">
        <v>0</v>
      </c>
      <c r="E984" s="2" t="str">
        <f>"0006803283"</f>
        <v>0006803283</v>
      </c>
      <c r="F984" s="5">
        <v>39031</v>
      </c>
      <c r="G984" s="5">
        <v>54789</v>
      </c>
      <c r="H984" s="4" t="str">
        <f>""</f>
        <v/>
      </c>
      <c r="I984" s="4" t="str">
        <f>""</f>
        <v/>
      </c>
    </row>
    <row r="985" spans="1:9" x14ac:dyDescent="0.3">
      <c r="A985" s="1" t="str">
        <f>"32"</f>
        <v>32</v>
      </c>
      <c r="B985" s="4" t="str">
        <f>"SARL DELILE ET FILS"</f>
        <v>SARL DELILE ET FILS</v>
      </c>
      <c r="C985" s="4">
        <v>422446716</v>
      </c>
      <c r="D985" s="3" t="s">
        <v>0</v>
      </c>
      <c r="E985" s="2" t="str">
        <f>"PR3200002D"</f>
        <v>PR3200002D</v>
      </c>
      <c r="F985" s="5">
        <v>38908</v>
      </c>
      <c r="G985" s="5">
        <v>54789</v>
      </c>
      <c r="H985" s="4" t="str">
        <f>""</f>
        <v/>
      </c>
      <c r="I985" s="4" t="str">
        <f>""</f>
        <v/>
      </c>
    </row>
    <row r="986" spans="1:9" x14ac:dyDescent="0.3">
      <c r="A986" s="1" t="str">
        <f>"32"</f>
        <v>32</v>
      </c>
      <c r="B986" s="4" t="str">
        <f>"SARL DELILE ET FILS"</f>
        <v>SARL DELILE ET FILS</v>
      </c>
      <c r="C986" s="4">
        <v>422446716</v>
      </c>
      <c r="D986" s="3" t="s">
        <v>0</v>
      </c>
      <c r="E986" s="2" t="str">
        <f>"0006803274"</f>
        <v>0006803274</v>
      </c>
      <c r="F986" s="5">
        <v>38908</v>
      </c>
      <c r="G986" s="5">
        <v>54789</v>
      </c>
      <c r="H986" s="4" t="str">
        <f>""</f>
        <v/>
      </c>
      <c r="I986" s="4" t="str">
        <f>""</f>
        <v/>
      </c>
    </row>
    <row r="987" spans="1:9" x14ac:dyDescent="0.3">
      <c r="A987" s="1" t="str">
        <f>"32"</f>
        <v>32</v>
      </c>
      <c r="B987" s="4" t="str">
        <f>"SARL DELILE ET FILS"</f>
        <v>SARL DELILE ET FILS</v>
      </c>
      <c r="C987" s="4">
        <v>422446716</v>
      </c>
      <c r="D987" s="3" t="s">
        <v>0</v>
      </c>
      <c r="E987" s="2" t="str">
        <f>"PR3200009D"</f>
        <v>PR3200009D</v>
      </c>
      <c r="F987" s="5">
        <v>40088</v>
      </c>
      <c r="G987" s="5">
        <v>54789</v>
      </c>
      <c r="H987" s="4" t="str">
        <f>""</f>
        <v/>
      </c>
      <c r="I987" s="4" t="str">
        <f>""</f>
        <v/>
      </c>
    </row>
    <row r="988" spans="1:9" x14ac:dyDescent="0.3">
      <c r="A988" s="1" t="str">
        <f>"32"</f>
        <v>32</v>
      </c>
      <c r="B988" s="4" t="str">
        <f>"SARL DELILE ET FILS"</f>
        <v>SARL DELILE ET FILS</v>
      </c>
      <c r="C988" s="4">
        <v>422446716</v>
      </c>
      <c r="D988" s="3" t="s">
        <v>0</v>
      </c>
      <c r="E988" s="2" t="str">
        <f>"0006806918"</f>
        <v>0006806918</v>
      </c>
      <c r="F988" s="5">
        <v>40088</v>
      </c>
      <c r="G988" s="5">
        <v>54789</v>
      </c>
      <c r="H988" s="4" t="str">
        <f>""</f>
        <v/>
      </c>
      <c r="I988" s="4" t="str">
        <f>""</f>
        <v/>
      </c>
    </row>
    <row r="989" spans="1:9" x14ac:dyDescent="0.3">
      <c r="A989" s="1" t="str">
        <f>"32"</f>
        <v>32</v>
      </c>
      <c r="B989" s="4" t="str">
        <f>" société POUX"</f>
        <v xml:space="preserve"> société POUX</v>
      </c>
      <c r="C989" s="4">
        <v>478921653</v>
      </c>
      <c r="D989" s="3" t="s">
        <v>0</v>
      </c>
      <c r="E989" s="2" t="str">
        <f>"PR3100039D"</f>
        <v>PR3100039D</v>
      </c>
      <c r="F989" s="5">
        <v>43670</v>
      </c>
      <c r="G989" s="5">
        <v>54789</v>
      </c>
      <c r="H989" s="4" t="str">
        <f>""</f>
        <v/>
      </c>
      <c r="I989" s="4" t="str">
        <f>""</f>
        <v/>
      </c>
    </row>
    <row r="990" spans="1:9" x14ac:dyDescent="0.3">
      <c r="A990" s="1" t="str">
        <f>"32"</f>
        <v>32</v>
      </c>
      <c r="B990" s="4" t="str">
        <f>"BACQUIE AUTOMOBILES"</f>
        <v>BACQUIE AUTOMOBILES</v>
      </c>
      <c r="C990" s="4">
        <v>533101945</v>
      </c>
      <c r="D990" s="3" t="s">
        <v>0</v>
      </c>
      <c r="E990" s="2" t="str">
        <f>"PR3200001D"</f>
        <v>PR3200001D</v>
      </c>
      <c r="F990" s="5">
        <v>38860</v>
      </c>
      <c r="G990" s="5">
        <v>54789</v>
      </c>
      <c r="H990" s="4" t="str">
        <f>""</f>
        <v/>
      </c>
      <c r="I990" s="4" t="str">
        <f>""</f>
        <v/>
      </c>
    </row>
    <row r="991" spans="1:9" x14ac:dyDescent="0.3">
      <c r="A991" s="1" t="str">
        <f>"32"</f>
        <v>32</v>
      </c>
      <c r="B991" s="4" t="str">
        <f>"BACQUIE AUTOMOBILES"</f>
        <v>BACQUIE AUTOMOBILES</v>
      </c>
      <c r="C991" s="4">
        <v>533101945</v>
      </c>
      <c r="D991" s="3" t="s">
        <v>0</v>
      </c>
      <c r="E991" s="2" t="str">
        <f>"0006805795"</f>
        <v>0006805795</v>
      </c>
      <c r="F991" s="5">
        <v>38860</v>
      </c>
      <c r="G991" s="5">
        <v>54789</v>
      </c>
      <c r="H991" s="4" t="str">
        <f>""</f>
        <v/>
      </c>
      <c r="I991" s="4" t="str">
        <f>""</f>
        <v/>
      </c>
    </row>
    <row r="992" spans="1:9" x14ac:dyDescent="0.3">
      <c r="A992" s="1" t="str">
        <f>"32"</f>
        <v>32</v>
      </c>
      <c r="B992" s="4" t="str">
        <f>"RIBOT PREIGNAN AUTOMOBILE"</f>
        <v>RIBOT PREIGNAN AUTOMOBILE</v>
      </c>
      <c r="C992" s="4">
        <v>918405879</v>
      </c>
      <c r="D992" s="3" t="s">
        <v>0</v>
      </c>
      <c r="E992" s="2" t="str">
        <f>"PR3200007D"</f>
        <v>PR3200007D</v>
      </c>
      <c r="F992" s="5">
        <v>45120</v>
      </c>
      <c r="G992" s="5">
        <v>54789</v>
      </c>
      <c r="H992" s="4" t="str">
        <f>""</f>
        <v/>
      </c>
      <c r="I992" s="4" t="str">
        <f>""</f>
        <v/>
      </c>
    </row>
    <row r="993" spans="1:9" x14ac:dyDescent="0.3">
      <c r="A993" s="1" t="str">
        <f>"32"</f>
        <v>32</v>
      </c>
      <c r="B993" s="4" t="str">
        <f>"RIBOT PREIGNAN AUTOMOBILE"</f>
        <v>RIBOT PREIGNAN AUTOMOBILE</v>
      </c>
      <c r="C993" s="4">
        <v>918405879</v>
      </c>
      <c r="D993" s="3" t="s">
        <v>0</v>
      </c>
      <c r="E993" s="2" t="str">
        <f>"0006803330"</f>
        <v>0006803330</v>
      </c>
      <c r="F993" s="5">
        <v>45120</v>
      </c>
      <c r="G993" s="5">
        <v>54789</v>
      </c>
      <c r="H993" s="4" t="str">
        <f>""</f>
        <v/>
      </c>
      <c r="I993" s="4" t="str">
        <f>""</f>
        <v/>
      </c>
    </row>
    <row r="994" spans="1:9" x14ac:dyDescent="0.3">
      <c r="A994" s="1" t="str">
        <f>"32"</f>
        <v>32</v>
      </c>
      <c r="B994" s="4" t="str">
        <f>"CASSE-AUTO-32"</f>
        <v>CASSE-AUTO-32</v>
      </c>
      <c r="C994" s="4">
        <v>952954683</v>
      </c>
      <c r="D994" s="3" t="s">
        <v>0</v>
      </c>
      <c r="E994" s="2" t="str">
        <f>"PR32000011D"</f>
        <v>PR32000011D</v>
      </c>
      <c r="F994" s="5">
        <v>45348</v>
      </c>
      <c r="G994" s="5">
        <v>54789</v>
      </c>
      <c r="H994" s="4" t="str">
        <f>""</f>
        <v/>
      </c>
      <c r="I994" s="4" t="str">
        <f>""</f>
        <v/>
      </c>
    </row>
    <row r="995" spans="1:9" x14ac:dyDescent="0.3">
      <c r="A995" s="1" t="str">
        <f>"32"</f>
        <v>32</v>
      </c>
      <c r="B995" s="4" t="str">
        <f>"CASSE-AUTO-32"</f>
        <v>CASSE-AUTO-32</v>
      </c>
      <c r="C995" s="4">
        <v>952954683</v>
      </c>
      <c r="D995" s="3" t="s">
        <v>0</v>
      </c>
      <c r="E995" s="2" t="str">
        <f>"0006803283"</f>
        <v>0006803283</v>
      </c>
      <c r="F995" s="5">
        <v>45348</v>
      </c>
      <c r="G995" s="5">
        <v>54789</v>
      </c>
      <c r="H995" s="4" t="str">
        <f>""</f>
        <v/>
      </c>
      <c r="I995" s="4" t="str">
        <f>""</f>
        <v/>
      </c>
    </row>
    <row r="996" spans="1:9" x14ac:dyDescent="0.3">
      <c r="A996" s="1" t="str">
        <f>"33"</f>
        <v>33</v>
      </c>
      <c r="B996" s="4" t="str">
        <f>"SOCIETE DIATAN 2000"</f>
        <v>SOCIETE DIATAN 2000</v>
      </c>
      <c r="C996" s="4">
        <v>321152969</v>
      </c>
      <c r="D996" s="3" t="s">
        <v>0</v>
      </c>
      <c r="E996" s="2" t="str">
        <f>"0005200744"</f>
        <v>0005200744</v>
      </c>
      <c r="F996" s="5">
        <v>43795</v>
      </c>
      <c r="G996" s="5">
        <v>54789</v>
      </c>
      <c r="H996" s="4" t="str">
        <f>""</f>
        <v/>
      </c>
      <c r="I996" s="4" t="str">
        <f>""</f>
        <v/>
      </c>
    </row>
    <row r="997" spans="1:9" x14ac:dyDescent="0.3">
      <c r="A997" s="1" t="str">
        <f>"33"</f>
        <v>33</v>
      </c>
      <c r="B997" s="4" t="str">
        <f>"SOCIETE DIATAN 2000"</f>
        <v>SOCIETE DIATAN 2000</v>
      </c>
      <c r="C997" s="4">
        <v>321152969</v>
      </c>
      <c r="D997" s="3" t="s">
        <v>0</v>
      </c>
      <c r="E997" s="2" t="str">
        <f>"PR3300016D"</f>
        <v>PR3300016D</v>
      </c>
      <c r="F997" s="5">
        <v>41393</v>
      </c>
      <c r="G997" s="5">
        <v>54789</v>
      </c>
      <c r="H997" s="4" t="str">
        <f>""</f>
        <v/>
      </c>
      <c r="I997" s="4" t="str">
        <f>""</f>
        <v/>
      </c>
    </row>
    <row r="998" spans="1:9" x14ac:dyDescent="0.3">
      <c r="A998" s="1" t="str">
        <f>"33"</f>
        <v>33</v>
      </c>
      <c r="B998" s="4" t="str">
        <f>"SOCIETE DIATAN 2000"</f>
        <v>SOCIETE DIATAN 2000</v>
      </c>
      <c r="C998" s="4">
        <v>321152969</v>
      </c>
      <c r="D998" s="3" t="s">
        <v>0</v>
      </c>
      <c r="E998" s="2" t="str">
        <f>"PR3300016D"</f>
        <v>PR3300016D</v>
      </c>
      <c r="F998" s="5">
        <v>41393</v>
      </c>
      <c r="G998" s="5">
        <v>54789</v>
      </c>
      <c r="H998" s="4" t="str">
        <f>""</f>
        <v/>
      </c>
      <c r="I998" s="4" t="str">
        <f>""</f>
        <v/>
      </c>
    </row>
    <row r="999" spans="1:9" x14ac:dyDescent="0.3">
      <c r="A999" s="1" t="str">
        <f>"33"</f>
        <v>33</v>
      </c>
      <c r="B999" s="4" t="str">
        <f>"SOCIETE DIATAN 2000"</f>
        <v>SOCIETE DIATAN 2000</v>
      </c>
      <c r="C999" s="4">
        <v>321152969</v>
      </c>
      <c r="D999" s="3" t="s">
        <v>0</v>
      </c>
      <c r="E999" s="2" t="str">
        <f>"0005200744"</f>
        <v>0005200744</v>
      </c>
      <c r="F999" s="5">
        <v>43795</v>
      </c>
      <c r="G999" s="5">
        <v>54789</v>
      </c>
      <c r="H999" s="4" t="str">
        <f>""</f>
        <v/>
      </c>
      <c r="I999" s="4" t="str">
        <f>""</f>
        <v/>
      </c>
    </row>
    <row r="1000" spans="1:9" x14ac:dyDescent="0.3">
      <c r="A1000" s="1" t="str">
        <f>"33"</f>
        <v>33</v>
      </c>
      <c r="B1000" s="4" t="str">
        <f>"FILLATREAU PHILIPPE"</f>
        <v>FILLATREAU PHILIPPE</v>
      </c>
      <c r="C1000" s="4">
        <v>326096567</v>
      </c>
      <c r="D1000" s="3" t="s">
        <v>0</v>
      </c>
      <c r="E1000" s="2" t="str">
        <f>"0005201237"</f>
        <v>0005201237</v>
      </c>
      <c r="F1000" s="5">
        <v>42415</v>
      </c>
      <c r="G1000" s="5">
        <v>54789</v>
      </c>
      <c r="H1000" s="4" t="str">
        <f>""</f>
        <v/>
      </c>
      <c r="I1000" s="4" t="str">
        <f>""</f>
        <v/>
      </c>
    </row>
    <row r="1001" spans="1:9" x14ac:dyDescent="0.3">
      <c r="A1001" s="1" t="str">
        <f>"33"</f>
        <v>33</v>
      </c>
      <c r="B1001" s="4" t="str">
        <f>"FILLATREAU PHILIPPE"</f>
        <v>FILLATREAU PHILIPPE</v>
      </c>
      <c r="C1001" s="4">
        <v>326096567</v>
      </c>
      <c r="D1001" s="3" t="s">
        <v>0</v>
      </c>
      <c r="E1001" s="2" t="str">
        <f>"PR3300025D"</f>
        <v>PR3300025D</v>
      </c>
      <c r="F1001" s="5">
        <v>42415</v>
      </c>
      <c r="G1001" s="5">
        <v>54789</v>
      </c>
      <c r="H1001" s="4" t="str">
        <f>""</f>
        <v/>
      </c>
      <c r="I1001" s="4" t="str">
        <f>""</f>
        <v/>
      </c>
    </row>
    <row r="1002" spans="1:9" x14ac:dyDescent="0.3">
      <c r="A1002" s="1" t="str">
        <f>"33"</f>
        <v>33</v>
      </c>
      <c r="B1002" s="4" t="str">
        <f>"FILLATREAU PHILIPPE"</f>
        <v>FILLATREAU PHILIPPE</v>
      </c>
      <c r="C1002" s="4">
        <v>326096567</v>
      </c>
      <c r="D1002" s="3" t="s">
        <v>0</v>
      </c>
      <c r="E1002" s="2" t="str">
        <f>"0005201237"</f>
        <v>0005201237</v>
      </c>
      <c r="F1002" s="5">
        <v>42415</v>
      </c>
      <c r="G1002" s="5">
        <v>54789</v>
      </c>
      <c r="H1002" s="4" t="str">
        <f>""</f>
        <v/>
      </c>
      <c r="I1002" s="4" t="str">
        <f>""</f>
        <v/>
      </c>
    </row>
    <row r="1003" spans="1:9" x14ac:dyDescent="0.3">
      <c r="A1003" s="1" t="str">
        <f>"33"</f>
        <v>33</v>
      </c>
      <c r="B1003" s="4" t="str">
        <f>"FILLATREAU PHILIPPE"</f>
        <v>FILLATREAU PHILIPPE</v>
      </c>
      <c r="C1003" s="4">
        <v>326096567</v>
      </c>
      <c r="D1003" s="3" t="s">
        <v>0</v>
      </c>
      <c r="E1003" s="2" t="str">
        <f>"PR3300025D"</f>
        <v>PR3300025D</v>
      </c>
      <c r="F1003" s="5">
        <v>42415</v>
      </c>
      <c r="G1003" s="5">
        <v>54789</v>
      </c>
      <c r="H1003" s="4" t="str">
        <f>""</f>
        <v/>
      </c>
      <c r="I1003" s="4" t="str">
        <f>""</f>
        <v/>
      </c>
    </row>
    <row r="1004" spans="1:9" x14ac:dyDescent="0.3">
      <c r="A1004" s="1" t="str">
        <f>"33"</f>
        <v>33</v>
      </c>
      <c r="B1004" s="4" t="str">
        <f>"SARL CENTRE DE RECUPERATION DU LIBOURNAIS"</f>
        <v>SARL CENTRE DE RECUPERATION DU LIBOURNAIS</v>
      </c>
      <c r="C1004" s="4">
        <v>341831410</v>
      </c>
      <c r="D1004" s="3" t="s">
        <v>0</v>
      </c>
      <c r="E1004" s="2" t="str">
        <f>"0005207752"</f>
        <v>0005207752</v>
      </c>
      <c r="F1004" s="5">
        <v>41899</v>
      </c>
      <c r="G1004" s="5">
        <v>54789</v>
      </c>
      <c r="H1004" s="4" t="str">
        <f>""</f>
        <v/>
      </c>
      <c r="I1004" s="4" t="str">
        <f>""</f>
        <v/>
      </c>
    </row>
    <row r="1005" spans="1:9" x14ac:dyDescent="0.3">
      <c r="A1005" s="1" t="str">
        <f>"33"</f>
        <v>33</v>
      </c>
      <c r="B1005" s="4" t="str">
        <f>"SARL CENTRE DE RECUPERATION DU LIBOURNAIS"</f>
        <v>SARL CENTRE DE RECUPERATION DU LIBOURNAIS</v>
      </c>
      <c r="C1005" s="4">
        <v>341831410</v>
      </c>
      <c r="D1005" s="3" t="s">
        <v>0</v>
      </c>
      <c r="E1005" s="2" t="str">
        <f>"PR3300040D"</f>
        <v>PR3300040D</v>
      </c>
      <c r="F1005" s="5">
        <v>42697</v>
      </c>
      <c r="G1005" s="5">
        <v>54789</v>
      </c>
      <c r="H1005" s="4" t="str">
        <f>""</f>
        <v/>
      </c>
      <c r="I1005" s="4" t="str">
        <f>""</f>
        <v/>
      </c>
    </row>
    <row r="1006" spans="1:9" x14ac:dyDescent="0.3">
      <c r="A1006" s="1" t="str">
        <f>"33"</f>
        <v>33</v>
      </c>
      <c r="B1006" s="4" t="str">
        <f>"SARL CENTRE DE RECUPERATION DU LIBOURNAIS"</f>
        <v>SARL CENTRE DE RECUPERATION DU LIBOURNAIS</v>
      </c>
      <c r="C1006" s="4">
        <v>341831410</v>
      </c>
      <c r="D1006" s="3" t="s">
        <v>0</v>
      </c>
      <c r="E1006" s="2" t="str">
        <f>"0005207752"</f>
        <v>0005207752</v>
      </c>
      <c r="F1006" s="5">
        <v>41899</v>
      </c>
      <c r="G1006" s="5">
        <v>54789</v>
      </c>
      <c r="H1006" s="4" t="str">
        <f>""</f>
        <v/>
      </c>
      <c r="I1006" s="4" t="str">
        <f>""</f>
        <v/>
      </c>
    </row>
    <row r="1007" spans="1:9" x14ac:dyDescent="0.3">
      <c r="A1007" s="1" t="str">
        <f>"33"</f>
        <v>33</v>
      </c>
      <c r="B1007" s="4" t="str">
        <f>"SARL CENTRE DE RECUPERATION DU LIBOURNAIS"</f>
        <v>SARL CENTRE DE RECUPERATION DU LIBOURNAIS</v>
      </c>
      <c r="C1007" s="4">
        <v>341831410</v>
      </c>
      <c r="D1007" s="3" t="s">
        <v>0</v>
      </c>
      <c r="E1007" s="2" t="str">
        <f>"0005201164"</f>
        <v>0005201164</v>
      </c>
      <c r="F1007" s="5">
        <v>42697</v>
      </c>
      <c r="G1007" s="5">
        <v>54789</v>
      </c>
      <c r="H1007" s="4" t="str">
        <f>""</f>
        <v/>
      </c>
      <c r="I1007" s="4" t="str">
        <f>""</f>
        <v/>
      </c>
    </row>
    <row r="1008" spans="1:9" x14ac:dyDescent="0.3">
      <c r="A1008" s="1" t="str">
        <f>"33"</f>
        <v>33</v>
      </c>
      <c r="B1008" s="4" t="str">
        <f>"SARL CENTRE DE RECUPERATION DU LIBOURNAIS"</f>
        <v>SARL CENTRE DE RECUPERATION DU LIBOURNAIS</v>
      </c>
      <c r="C1008" s="4">
        <v>341831410</v>
      </c>
      <c r="D1008" s="3" t="s">
        <v>0</v>
      </c>
      <c r="E1008" s="2" t="str">
        <f>"PR3300027D"</f>
        <v>PR3300027D</v>
      </c>
      <c r="F1008" s="5">
        <v>41899</v>
      </c>
      <c r="G1008" s="5">
        <v>54789</v>
      </c>
      <c r="H1008" s="4" t="str">
        <f>""</f>
        <v/>
      </c>
      <c r="I1008" s="4" t="str">
        <f>""</f>
        <v/>
      </c>
    </row>
    <row r="1009" spans="1:9" x14ac:dyDescent="0.3">
      <c r="A1009" s="1" t="str">
        <f>"33"</f>
        <v>33</v>
      </c>
      <c r="B1009" s="4" t="str">
        <f>"SARL CENTRE DE RECUPERATION DU LIBOURNAIS"</f>
        <v>SARL CENTRE DE RECUPERATION DU LIBOURNAIS</v>
      </c>
      <c r="C1009" s="4">
        <v>341831410</v>
      </c>
      <c r="D1009" s="3" t="s">
        <v>0</v>
      </c>
      <c r="E1009" s="2" t="str">
        <f>"0005201164"</f>
        <v>0005201164</v>
      </c>
      <c r="F1009" s="5">
        <v>42697</v>
      </c>
      <c r="G1009" s="5">
        <v>54789</v>
      </c>
      <c r="H1009" s="4" t="str">
        <f>""</f>
        <v/>
      </c>
      <c r="I1009" s="4" t="str">
        <f>""</f>
        <v/>
      </c>
    </row>
    <row r="1010" spans="1:9" x14ac:dyDescent="0.3">
      <c r="A1010" s="1" t="str">
        <f>"33"</f>
        <v>33</v>
      </c>
      <c r="B1010" s="4" t="str">
        <f>"SARL CENTRE DE RECUPERATION DU LIBOURNAIS"</f>
        <v>SARL CENTRE DE RECUPERATION DU LIBOURNAIS</v>
      </c>
      <c r="C1010" s="4">
        <v>341831410</v>
      </c>
      <c r="D1010" s="3" t="s">
        <v>0</v>
      </c>
      <c r="E1010" s="2" t="str">
        <f>"PR3300027D"</f>
        <v>PR3300027D</v>
      </c>
      <c r="F1010" s="5">
        <v>41899</v>
      </c>
      <c r="G1010" s="5">
        <v>54789</v>
      </c>
      <c r="H1010" s="4" t="str">
        <f>""</f>
        <v/>
      </c>
      <c r="I1010" s="4" t="str">
        <f>""</f>
        <v/>
      </c>
    </row>
    <row r="1011" spans="1:9" x14ac:dyDescent="0.3">
      <c r="A1011" s="1" t="str">
        <f>"33"</f>
        <v>33</v>
      </c>
      <c r="B1011" s="4" t="str">
        <f>"SARL CENTRE DE RECUPERATION DU LIBOURNAIS"</f>
        <v>SARL CENTRE DE RECUPERATION DU LIBOURNAIS</v>
      </c>
      <c r="C1011" s="4">
        <v>341831410</v>
      </c>
      <c r="D1011" s="3" t="s">
        <v>0</v>
      </c>
      <c r="E1011" s="2" t="str">
        <f>"PR3300040D"</f>
        <v>PR3300040D</v>
      </c>
      <c r="F1011" s="5">
        <v>42697</v>
      </c>
      <c r="G1011" s="5">
        <v>54789</v>
      </c>
      <c r="H1011" s="4" t="str">
        <f>""</f>
        <v/>
      </c>
      <c r="I1011" s="4" t="str">
        <f>""</f>
        <v/>
      </c>
    </row>
    <row r="1012" spans="1:9" x14ac:dyDescent="0.3">
      <c r="A1012" s="1" t="str">
        <f>"33"</f>
        <v>33</v>
      </c>
      <c r="B1012" s="4" t="str">
        <f>"SARL SUD-OUEST AUTOMOBILE 33"</f>
        <v>SARL SUD-OUEST AUTOMOBILE 33</v>
      </c>
      <c r="C1012" s="4">
        <v>343003216</v>
      </c>
      <c r="D1012" s="3" t="s">
        <v>0</v>
      </c>
      <c r="E1012" s="2" t="str">
        <f>"0005207979"</f>
        <v>0005207979</v>
      </c>
      <c r="F1012" s="5">
        <v>42011</v>
      </c>
      <c r="G1012" s="5">
        <v>54789</v>
      </c>
      <c r="H1012" s="4" t="str">
        <f>""</f>
        <v/>
      </c>
      <c r="I1012" s="4" t="str">
        <f>""</f>
        <v/>
      </c>
    </row>
    <row r="1013" spans="1:9" x14ac:dyDescent="0.3">
      <c r="A1013" s="1" t="str">
        <f>"33"</f>
        <v>33</v>
      </c>
      <c r="B1013" s="4" t="str">
        <f>"SARL SUD-OUEST AUTOMOBILE 33"</f>
        <v>SARL SUD-OUEST AUTOMOBILE 33</v>
      </c>
      <c r="C1013" s="4">
        <v>343003216</v>
      </c>
      <c r="D1013" s="3" t="s">
        <v>0</v>
      </c>
      <c r="E1013" s="2" t="str">
        <f>"PR3300034D"</f>
        <v>PR3300034D</v>
      </c>
      <c r="F1013" s="5">
        <v>42011</v>
      </c>
      <c r="G1013" s="5">
        <v>54789</v>
      </c>
      <c r="H1013" s="4" t="str">
        <f>""</f>
        <v/>
      </c>
      <c r="I1013" s="4" t="str">
        <f>""</f>
        <v/>
      </c>
    </row>
    <row r="1014" spans="1:9" x14ac:dyDescent="0.3">
      <c r="A1014" s="1" t="str">
        <f>"33"</f>
        <v>33</v>
      </c>
      <c r="B1014" s="4" t="str">
        <f>"SARL SUD-OUEST AUTOMOBILE 33"</f>
        <v>SARL SUD-OUEST AUTOMOBILE 33</v>
      </c>
      <c r="C1014" s="4">
        <v>343003216</v>
      </c>
      <c r="D1014" s="3" t="s">
        <v>0</v>
      </c>
      <c r="E1014" s="2" t="str">
        <f>"PR3300034D"</f>
        <v>PR3300034D</v>
      </c>
      <c r="F1014" s="5">
        <v>42011</v>
      </c>
      <c r="G1014" s="5">
        <v>54789</v>
      </c>
      <c r="H1014" s="4" t="str">
        <f>""</f>
        <v/>
      </c>
      <c r="I1014" s="4" t="str">
        <f>""</f>
        <v/>
      </c>
    </row>
    <row r="1015" spans="1:9" x14ac:dyDescent="0.3">
      <c r="A1015" s="1" t="str">
        <f>"33"</f>
        <v>33</v>
      </c>
      <c r="B1015" s="4" t="str">
        <f>"SARL SUD-OUEST AUTOMOBILE 33"</f>
        <v>SARL SUD-OUEST AUTOMOBILE 33</v>
      </c>
      <c r="C1015" s="4">
        <v>343003216</v>
      </c>
      <c r="D1015" s="3" t="s">
        <v>0</v>
      </c>
      <c r="E1015" s="2" t="str">
        <f>"0005207979"</f>
        <v>0005207979</v>
      </c>
      <c r="F1015" s="5">
        <v>42011</v>
      </c>
      <c r="G1015" s="5">
        <v>54789</v>
      </c>
      <c r="H1015" s="4" t="str">
        <f>""</f>
        <v/>
      </c>
      <c r="I1015" s="4" t="str">
        <f>""</f>
        <v/>
      </c>
    </row>
    <row r="1016" spans="1:9" x14ac:dyDescent="0.3">
      <c r="A1016" s="1" t="str">
        <f>"33"</f>
        <v>33</v>
      </c>
      <c r="B1016" s="4" t="str">
        <f>"SOCIETE TRESSES RECUPERATION AUTO"</f>
        <v>SOCIETE TRESSES RECUPERATION AUTO</v>
      </c>
      <c r="C1016" s="4">
        <v>343304275</v>
      </c>
      <c r="D1016" s="3" t="s">
        <v>0</v>
      </c>
      <c r="E1016" s="2" t="str">
        <f>"0005207821"</f>
        <v>0005207821</v>
      </c>
      <c r="F1016" s="5">
        <v>43375</v>
      </c>
      <c r="G1016" s="5">
        <v>54789</v>
      </c>
      <c r="H1016" s="4" t="str">
        <f>""</f>
        <v/>
      </c>
      <c r="I1016" s="4" t="str">
        <f>""</f>
        <v/>
      </c>
    </row>
    <row r="1017" spans="1:9" x14ac:dyDescent="0.3">
      <c r="A1017" s="1" t="str">
        <f>"33"</f>
        <v>33</v>
      </c>
      <c r="B1017" s="4" t="str">
        <f>"SOCIETE TRESSES RECUPERATION AUTO"</f>
        <v>SOCIETE TRESSES RECUPERATION AUTO</v>
      </c>
      <c r="C1017" s="4">
        <v>343304275</v>
      </c>
      <c r="D1017" s="3" t="s">
        <v>0</v>
      </c>
      <c r="E1017" s="2" t="str">
        <f>"PR3300009D"</f>
        <v>PR3300009D</v>
      </c>
      <c r="F1017" s="5">
        <v>41198</v>
      </c>
      <c r="G1017" s="5">
        <v>54789</v>
      </c>
      <c r="H1017" s="4" t="str">
        <f>""</f>
        <v/>
      </c>
      <c r="I1017" s="4" t="str">
        <f>""</f>
        <v/>
      </c>
    </row>
    <row r="1018" spans="1:9" x14ac:dyDescent="0.3">
      <c r="A1018" s="1" t="str">
        <f>"33"</f>
        <v>33</v>
      </c>
      <c r="B1018" s="4" t="str">
        <f>"SOCIETE TRESSES RECUPERATION AUTO"</f>
        <v>SOCIETE TRESSES RECUPERATION AUTO</v>
      </c>
      <c r="C1018" s="4">
        <v>343304275</v>
      </c>
      <c r="D1018" s="3" t="s">
        <v>0</v>
      </c>
      <c r="E1018" s="2" t="str">
        <f>"0005207821"</f>
        <v>0005207821</v>
      </c>
      <c r="F1018" s="5">
        <v>43375</v>
      </c>
      <c r="G1018" s="5">
        <v>54789</v>
      </c>
      <c r="H1018" s="4" t="str">
        <f>""</f>
        <v/>
      </c>
      <c r="I1018" s="4" t="str">
        <f>""</f>
        <v/>
      </c>
    </row>
    <row r="1019" spans="1:9" x14ac:dyDescent="0.3">
      <c r="A1019" s="1" t="str">
        <f>"33"</f>
        <v>33</v>
      </c>
      <c r="B1019" s="4" t="str">
        <f>"SOCIETE TRESSES RECUPERATION AUTO"</f>
        <v>SOCIETE TRESSES RECUPERATION AUTO</v>
      </c>
      <c r="C1019" s="4">
        <v>343304275</v>
      </c>
      <c r="D1019" s="3" t="s">
        <v>0</v>
      </c>
      <c r="E1019" s="2" t="str">
        <f>"PR3300009D"</f>
        <v>PR3300009D</v>
      </c>
      <c r="F1019" s="5">
        <v>41198</v>
      </c>
      <c r="G1019" s="5">
        <v>54789</v>
      </c>
      <c r="H1019" s="4" t="str">
        <f>""</f>
        <v/>
      </c>
      <c r="I1019" s="4" t="str">
        <f>""</f>
        <v/>
      </c>
    </row>
    <row r="1020" spans="1:9" x14ac:dyDescent="0.3">
      <c r="A1020" s="1" t="str">
        <f>"33"</f>
        <v>33</v>
      </c>
      <c r="B1020" s="4" t="str">
        <f>"BILLOT PATRICK"</f>
        <v>BILLOT PATRICK</v>
      </c>
      <c r="C1020" s="4">
        <v>348496597</v>
      </c>
      <c r="D1020" s="3" t="s">
        <v>0</v>
      </c>
      <c r="E1020" s="2" t="str">
        <f>"0005201257"</f>
        <v>0005201257</v>
      </c>
      <c r="F1020" s="5">
        <v>42016</v>
      </c>
      <c r="G1020" s="5">
        <v>54789</v>
      </c>
      <c r="H1020" s="4" t="str">
        <f>""</f>
        <v/>
      </c>
      <c r="I1020" s="4" t="str">
        <f>""</f>
        <v/>
      </c>
    </row>
    <row r="1021" spans="1:9" x14ac:dyDescent="0.3">
      <c r="A1021" s="1" t="str">
        <f>"33"</f>
        <v>33</v>
      </c>
      <c r="B1021" s="4" t="str">
        <f>"BILLOT PATRICK"</f>
        <v>BILLOT PATRICK</v>
      </c>
      <c r="C1021" s="4">
        <v>348496597</v>
      </c>
      <c r="D1021" s="3" t="s">
        <v>0</v>
      </c>
      <c r="E1021" s="2" t="str">
        <f>"PR3300035D"</f>
        <v>PR3300035D</v>
      </c>
      <c r="F1021" s="5">
        <v>42016</v>
      </c>
      <c r="G1021" s="5">
        <v>54789</v>
      </c>
      <c r="H1021" s="4" t="str">
        <f>""</f>
        <v/>
      </c>
      <c r="I1021" s="4" t="str">
        <f>""</f>
        <v/>
      </c>
    </row>
    <row r="1022" spans="1:9" x14ac:dyDescent="0.3">
      <c r="A1022" s="1" t="str">
        <f>"33"</f>
        <v>33</v>
      </c>
      <c r="B1022" s="4" t="str">
        <f>"BILLOT PATRICK"</f>
        <v>BILLOT PATRICK</v>
      </c>
      <c r="C1022" s="4">
        <v>348496597</v>
      </c>
      <c r="D1022" s="3" t="s">
        <v>0</v>
      </c>
      <c r="E1022" s="2" t="str">
        <f>"0005201257"</f>
        <v>0005201257</v>
      </c>
      <c r="F1022" s="5">
        <v>42016</v>
      </c>
      <c r="G1022" s="5">
        <v>54789</v>
      </c>
      <c r="H1022" s="4" t="str">
        <f>""</f>
        <v/>
      </c>
      <c r="I1022" s="4" t="str">
        <f>""</f>
        <v/>
      </c>
    </row>
    <row r="1023" spans="1:9" x14ac:dyDescent="0.3">
      <c r="A1023" s="1" t="str">
        <f>"33"</f>
        <v>33</v>
      </c>
      <c r="B1023" s="4" t="str">
        <f>"BILLOT PATRICK"</f>
        <v>BILLOT PATRICK</v>
      </c>
      <c r="C1023" s="4">
        <v>348496597</v>
      </c>
      <c r="D1023" s="3" t="s">
        <v>0</v>
      </c>
      <c r="E1023" s="2" t="str">
        <f>"PR3300035D"</f>
        <v>PR3300035D</v>
      </c>
      <c r="F1023" s="5">
        <v>42016</v>
      </c>
      <c r="G1023" s="5">
        <v>54789</v>
      </c>
      <c r="H1023" s="4" t="str">
        <f>""</f>
        <v/>
      </c>
      <c r="I1023" s="4" t="str">
        <f>""</f>
        <v/>
      </c>
    </row>
    <row r="1024" spans="1:9" x14ac:dyDescent="0.3">
      <c r="A1024" s="1" t="str">
        <f>"33"</f>
        <v>33</v>
      </c>
      <c r="B1024" s="4" t="str">
        <f>"SARL BONNIEU"</f>
        <v>SARL BONNIEU</v>
      </c>
      <c r="C1024" s="4">
        <v>381749944</v>
      </c>
      <c r="D1024" s="3" t="s">
        <v>0</v>
      </c>
      <c r="E1024" s="2" t="str">
        <f>"PR3300018D"</f>
        <v>PR3300018D</v>
      </c>
      <c r="F1024" s="5">
        <v>41775</v>
      </c>
      <c r="G1024" s="5">
        <v>54789</v>
      </c>
      <c r="H1024" s="4" t="str">
        <f>""</f>
        <v/>
      </c>
      <c r="I1024" s="4" t="str">
        <f>""</f>
        <v/>
      </c>
    </row>
    <row r="1025" spans="1:9" x14ac:dyDescent="0.3">
      <c r="A1025" s="1" t="str">
        <f>"33"</f>
        <v>33</v>
      </c>
      <c r="B1025" s="4" t="str">
        <f>"SARL BONNIEU"</f>
        <v>SARL BONNIEU</v>
      </c>
      <c r="C1025" s="4">
        <v>381749944</v>
      </c>
      <c r="D1025" s="3" t="s">
        <v>0</v>
      </c>
      <c r="E1025" s="2" t="str">
        <f>"0005200602"</f>
        <v>0005200602</v>
      </c>
      <c r="F1025" s="5">
        <v>41775</v>
      </c>
      <c r="G1025" s="5">
        <v>54789</v>
      </c>
      <c r="H1025" s="4" t="str">
        <f>""</f>
        <v/>
      </c>
      <c r="I1025" s="4" t="str">
        <f>""</f>
        <v/>
      </c>
    </row>
    <row r="1026" spans="1:9" x14ac:dyDescent="0.3">
      <c r="A1026" s="1" t="str">
        <f>"33"</f>
        <v>33</v>
      </c>
      <c r="B1026" s="4" t="str">
        <f>"SARL BONNIEU"</f>
        <v>SARL BONNIEU</v>
      </c>
      <c r="C1026" s="4">
        <v>381749944</v>
      </c>
      <c r="D1026" s="3" t="s">
        <v>0</v>
      </c>
      <c r="E1026" s="2" t="str">
        <f>"PR3300018D"</f>
        <v>PR3300018D</v>
      </c>
      <c r="F1026" s="5">
        <v>41775</v>
      </c>
      <c r="G1026" s="5">
        <v>54789</v>
      </c>
      <c r="H1026" s="4" t="str">
        <f>""</f>
        <v/>
      </c>
      <c r="I1026" s="4" t="str">
        <f>""</f>
        <v/>
      </c>
    </row>
    <row r="1027" spans="1:9" x14ac:dyDescent="0.3">
      <c r="A1027" s="1" t="str">
        <f>"33"</f>
        <v>33</v>
      </c>
      <c r="B1027" s="4" t="str">
        <f>"SARL BONNIEU"</f>
        <v>SARL BONNIEU</v>
      </c>
      <c r="C1027" s="4">
        <v>381749944</v>
      </c>
      <c r="D1027" s="3" t="s">
        <v>0</v>
      </c>
      <c r="E1027" s="2" t="str">
        <f>"PR3300018D"</f>
        <v>PR3300018D</v>
      </c>
      <c r="F1027" s="5">
        <v>41775</v>
      </c>
      <c r="G1027" s="5">
        <v>54789</v>
      </c>
      <c r="H1027" s="4" t="str">
        <f>""</f>
        <v/>
      </c>
      <c r="I1027" s="4" t="str">
        <f>""</f>
        <v/>
      </c>
    </row>
    <row r="1028" spans="1:9" x14ac:dyDescent="0.3">
      <c r="A1028" s="1" t="str">
        <f>"33"</f>
        <v>33</v>
      </c>
      <c r="B1028" s="4" t="str">
        <f>"SARL BONNIEU"</f>
        <v>SARL BONNIEU</v>
      </c>
      <c r="C1028" s="4">
        <v>381749944</v>
      </c>
      <c r="D1028" s="3" t="s">
        <v>0</v>
      </c>
      <c r="E1028" s="2" t="str">
        <f>"0005200602"</f>
        <v>0005200602</v>
      </c>
      <c r="F1028" s="5">
        <v>41775</v>
      </c>
      <c r="G1028" s="5">
        <v>54789</v>
      </c>
      <c r="H1028" s="4" t="str">
        <f>""</f>
        <v/>
      </c>
      <c r="I1028" s="4" t="str">
        <f>""</f>
        <v/>
      </c>
    </row>
    <row r="1029" spans="1:9" x14ac:dyDescent="0.3">
      <c r="A1029" s="1" t="str">
        <f>"33"</f>
        <v>33</v>
      </c>
      <c r="B1029" s="4" t="str">
        <f>"SARL BONNIEU"</f>
        <v>SARL BONNIEU</v>
      </c>
      <c r="C1029" s="4">
        <v>381749944</v>
      </c>
      <c r="D1029" s="3" t="s">
        <v>0</v>
      </c>
      <c r="E1029" s="2" t="str">
        <f>"PR3300018D"</f>
        <v>PR3300018D</v>
      </c>
      <c r="F1029" s="5">
        <v>41775</v>
      </c>
      <c r="G1029" s="5">
        <v>54789</v>
      </c>
      <c r="H1029" s="4" t="str">
        <f>""</f>
        <v/>
      </c>
      <c r="I1029" s="4" t="str">
        <f>""</f>
        <v/>
      </c>
    </row>
    <row r="1030" spans="1:9" x14ac:dyDescent="0.3">
      <c r="A1030" s="1" t="str">
        <f>"33"</f>
        <v>33</v>
      </c>
      <c r="B1030" s="4" t="str">
        <f>"AFM RECYCLAGE"</f>
        <v>AFM RECYCLAGE</v>
      </c>
      <c r="C1030" s="4">
        <v>383482635</v>
      </c>
      <c r="D1030" s="3" t="s">
        <v>0</v>
      </c>
      <c r="E1030" s="2" t="str">
        <f>"PR3100001B"</f>
        <v>PR3100001B</v>
      </c>
      <c r="F1030" s="5">
        <v>42293</v>
      </c>
      <c r="G1030" s="5">
        <v>54789</v>
      </c>
      <c r="H1030" s="4" t="str">
        <f>""</f>
        <v/>
      </c>
      <c r="I1030" s="4" t="str">
        <f>""</f>
        <v/>
      </c>
    </row>
    <row r="1031" spans="1:9" x14ac:dyDescent="0.3">
      <c r="A1031" s="1" t="str">
        <f>"33"</f>
        <v>33</v>
      </c>
      <c r="B1031" s="4" t="str">
        <f>"SOCIETE AFM RECYCLAGE"</f>
        <v>SOCIETE AFM RECYCLAGE</v>
      </c>
      <c r="C1031" s="4">
        <v>383482635</v>
      </c>
      <c r="D1031" s="3" t="s">
        <v>0</v>
      </c>
      <c r="E1031" s="2" t="str">
        <f>"0005206140"</f>
        <v>0005206140</v>
      </c>
      <c r="F1031" s="5">
        <v>43031</v>
      </c>
      <c r="G1031" s="5">
        <v>54789</v>
      </c>
      <c r="H1031" s="4" t="str">
        <f>""</f>
        <v/>
      </c>
      <c r="I1031" s="4" t="str">
        <f>""</f>
        <v/>
      </c>
    </row>
    <row r="1032" spans="1:9" x14ac:dyDescent="0.3">
      <c r="A1032" s="1" t="str">
        <f>"33"</f>
        <v>33</v>
      </c>
      <c r="B1032" s="4" t="str">
        <f>"SOCIETE AFM RECYCLAGE"</f>
        <v>SOCIETE AFM RECYCLAGE</v>
      </c>
      <c r="C1032" s="4">
        <v>383482635</v>
      </c>
      <c r="D1032" s="3" t="s">
        <v>0</v>
      </c>
      <c r="E1032" s="2" t="str">
        <f>"0005211494"</f>
        <v>0005211494</v>
      </c>
      <c r="F1032" s="5">
        <v>43801</v>
      </c>
      <c r="G1032" s="5">
        <v>54789</v>
      </c>
      <c r="H1032" s="4" t="str">
        <f>""</f>
        <v/>
      </c>
      <c r="I1032" s="4" t="str">
        <f>""</f>
        <v/>
      </c>
    </row>
    <row r="1033" spans="1:9" x14ac:dyDescent="0.3">
      <c r="A1033" s="1" t="str">
        <f>"33"</f>
        <v>33</v>
      </c>
      <c r="B1033" s="4" t="str">
        <f>"AFM RECYCLAGE"</f>
        <v>AFM RECYCLAGE</v>
      </c>
      <c r="C1033" s="4">
        <v>383482635</v>
      </c>
      <c r="D1033" s="3" t="s">
        <v>0</v>
      </c>
      <c r="E1033" s="2" t="str">
        <f>"PR3300065D"</f>
        <v>PR3300065D</v>
      </c>
      <c r="F1033" s="5">
        <v>45328</v>
      </c>
      <c r="G1033" s="5">
        <v>54789</v>
      </c>
      <c r="H1033" s="4" t="str">
        <f>""</f>
        <v/>
      </c>
      <c r="I1033" s="4" t="str">
        <f>""</f>
        <v/>
      </c>
    </row>
    <row r="1034" spans="1:9" x14ac:dyDescent="0.3">
      <c r="A1034" s="1" t="str">
        <f>"33"</f>
        <v>33</v>
      </c>
      <c r="B1034" s="4" t="str">
        <f>"AFM RECYCLAGE"</f>
        <v>AFM RECYCLAGE</v>
      </c>
      <c r="C1034" s="4">
        <v>383482635</v>
      </c>
      <c r="D1034" s="3" t="s">
        <v>0</v>
      </c>
      <c r="E1034" s="2" t="str">
        <f>"0005201398"</f>
        <v>0005201398</v>
      </c>
      <c r="F1034" s="5">
        <v>43217</v>
      </c>
      <c r="G1034" s="5">
        <v>54789</v>
      </c>
      <c r="H1034" s="4" t="str">
        <f>""</f>
        <v/>
      </c>
      <c r="I1034" s="4" t="str">
        <f>""</f>
        <v/>
      </c>
    </row>
    <row r="1035" spans="1:9" x14ac:dyDescent="0.3">
      <c r="A1035" s="1" t="str">
        <f>"33"</f>
        <v>33</v>
      </c>
      <c r="B1035" s="4" t="str">
        <f>"SOCIETE AFM RECYCLAGE"</f>
        <v>SOCIETE AFM RECYCLAGE</v>
      </c>
      <c r="C1035" s="4">
        <v>383482635</v>
      </c>
      <c r="D1035" s="3" t="s">
        <v>0</v>
      </c>
      <c r="E1035" s="2" t="str">
        <f>"PR3300051B"</f>
        <v>PR3300051B</v>
      </c>
      <c r="F1035" s="5">
        <v>43801</v>
      </c>
      <c r="G1035" s="5">
        <v>54789</v>
      </c>
      <c r="H1035" s="4" t="str">
        <f>""</f>
        <v/>
      </c>
      <c r="I1035" s="4" t="str">
        <f>""</f>
        <v/>
      </c>
    </row>
    <row r="1036" spans="1:9" x14ac:dyDescent="0.3">
      <c r="A1036" s="1" t="str">
        <f>"33"</f>
        <v>33</v>
      </c>
      <c r="B1036" s="4" t="str">
        <f>"SOCIETE AFM RECYCLAGE"</f>
        <v>SOCIETE AFM RECYCLAGE</v>
      </c>
      <c r="C1036" s="4">
        <v>383482635</v>
      </c>
      <c r="D1036" s="3" t="s">
        <v>0</v>
      </c>
      <c r="E1036" s="2" t="str">
        <f>"PR3300051D"</f>
        <v>PR3300051D</v>
      </c>
      <c r="F1036" s="5">
        <v>43801</v>
      </c>
      <c r="G1036" s="5">
        <v>54789</v>
      </c>
      <c r="H1036" s="4" t="str">
        <f>""</f>
        <v/>
      </c>
      <c r="I1036" s="4" t="str">
        <f>""</f>
        <v/>
      </c>
    </row>
    <row r="1037" spans="1:9" x14ac:dyDescent="0.3">
      <c r="A1037" s="1" t="str">
        <f>"33"</f>
        <v>33</v>
      </c>
      <c r="B1037" s="4" t="str">
        <f>"SOCIETE AFM RECYCLAGE"</f>
        <v>SOCIETE AFM RECYCLAGE</v>
      </c>
      <c r="C1037" s="4">
        <v>383482635</v>
      </c>
      <c r="D1037" s="3" t="s">
        <v>0</v>
      </c>
      <c r="E1037" s="2" t="str">
        <f>"PR3300054D"</f>
        <v>PR3300054D</v>
      </c>
      <c r="F1037" s="5">
        <v>42831</v>
      </c>
      <c r="G1037" s="5">
        <v>54789</v>
      </c>
      <c r="H1037" s="4" t="str">
        <f>""</f>
        <v/>
      </c>
      <c r="I1037" s="4" t="str">
        <f>""</f>
        <v/>
      </c>
    </row>
    <row r="1038" spans="1:9" x14ac:dyDescent="0.3">
      <c r="A1038" s="1" t="str">
        <f>"33"</f>
        <v>33</v>
      </c>
      <c r="B1038" s="4" t="str">
        <f>"SOCIETE AFM RECYCLAGE"</f>
        <v>SOCIETE AFM RECYCLAGE</v>
      </c>
      <c r="C1038" s="4">
        <v>383482635</v>
      </c>
      <c r="D1038" s="3" t="s">
        <v>0</v>
      </c>
      <c r="E1038" s="2" t="str">
        <f>"PR3300056D"</f>
        <v>PR3300056D</v>
      </c>
      <c r="F1038" s="5">
        <v>43031</v>
      </c>
      <c r="G1038" s="5">
        <v>54789</v>
      </c>
      <c r="H1038" s="4" t="str">
        <f>""</f>
        <v/>
      </c>
      <c r="I1038" s="4" t="str">
        <f>""</f>
        <v/>
      </c>
    </row>
    <row r="1039" spans="1:9" x14ac:dyDescent="0.3">
      <c r="A1039" s="1" t="str">
        <f>"33"</f>
        <v>33</v>
      </c>
      <c r="B1039" s="4" t="str">
        <f>"AFM RECYCLAGE"</f>
        <v>AFM RECYCLAGE</v>
      </c>
      <c r="C1039" s="4">
        <v>383482635</v>
      </c>
      <c r="D1039" s="3" t="s">
        <v>0</v>
      </c>
      <c r="E1039" s="2" t="str">
        <f>"PR3300058D"</f>
        <v>PR3300058D</v>
      </c>
      <c r="F1039" s="5">
        <v>43217</v>
      </c>
      <c r="G1039" s="5">
        <v>54789</v>
      </c>
      <c r="H1039" s="4" t="str">
        <f>""</f>
        <v/>
      </c>
      <c r="I1039" s="4" t="str">
        <f>""</f>
        <v/>
      </c>
    </row>
    <row r="1040" spans="1:9" x14ac:dyDescent="0.3">
      <c r="A1040" s="1" t="str">
        <f>"33"</f>
        <v>33</v>
      </c>
      <c r="B1040" s="4" t="str">
        <f>"AFM RECYCLAGE-COUTRAS"</f>
        <v>AFM RECYCLAGE-COUTRAS</v>
      </c>
      <c r="C1040" s="4">
        <v>383482635</v>
      </c>
      <c r="D1040" s="3" t="s">
        <v>0</v>
      </c>
      <c r="E1040" s="2" t="str">
        <f>"PR3300060D"</f>
        <v>PR3300060D</v>
      </c>
      <c r="F1040" s="5">
        <v>43399</v>
      </c>
      <c r="G1040" s="5">
        <v>54789</v>
      </c>
      <c r="H1040" s="4" t="str">
        <f>""</f>
        <v/>
      </c>
      <c r="I1040" s="4" t="str">
        <f>""</f>
        <v/>
      </c>
    </row>
    <row r="1041" spans="1:9" x14ac:dyDescent="0.3">
      <c r="A1041" s="1" t="str">
        <f>"33"</f>
        <v>33</v>
      </c>
      <c r="B1041" s="4" t="str">
        <f>"SOCIETE AFM RECYCLAGE"</f>
        <v>SOCIETE AFM RECYCLAGE</v>
      </c>
      <c r="C1041" s="4">
        <v>383482635</v>
      </c>
      <c r="D1041" s="3" t="s">
        <v>0</v>
      </c>
      <c r="E1041" s="2" t="str">
        <f>"0005200989"</f>
        <v>0005200989</v>
      </c>
      <c r="F1041" s="5">
        <v>42831</v>
      </c>
      <c r="G1041" s="5">
        <v>54789</v>
      </c>
      <c r="H1041" s="4" t="str">
        <f>""</f>
        <v/>
      </c>
      <c r="I1041" s="4" t="str">
        <f>""</f>
        <v/>
      </c>
    </row>
    <row r="1042" spans="1:9" x14ac:dyDescent="0.3">
      <c r="A1042" s="1" t="str">
        <f>"33"</f>
        <v>33</v>
      </c>
      <c r="B1042" s="4" t="str">
        <f>"AFM RECYCLAGE"</f>
        <v>AFM RECYCLAGE</v>
      </c>
      <c r="C1042" s="4">
        <v>383482635</v>
      </c>
      <c r="D1042" s="3" t="s">
        <v>0</v>
      </c>
      <c r="E1042" s="2" t="str">
        <f>"PR3100001B"</f>
        <v>PR3100001B</v>
      </c>
      <c r="F1042" s="5">
        <v>42293</v>
      </c>
      <c r="G1042" s="5">
        <v>54789</v>
      </c>
      <c r="H1042" s="4" t="str">
        <f>""</f>
        <v/>
      </c>
      <c r="I1042" s="4" t="str">
        <f>""</f>
        <v/>
      </c>
    </row>
    <row r="1043" spans="1:9" x14ac:dyDescent="0.3">
      <c r="A1043" s="1" t="str">
        <f>"33"</f>
        <v>33</v>
      </c>
      <c r="B1043" s="4" t="str">
        <f>"SOCIETE AFM RECYCLAGE"</f>
        <v>SOCIETE AFM RECYCLAGE</v>
      </c>
      <c r="C1043" s="4">
        <v>383482635</v>
      </c>
      <c r="D1043" s="3" t="s">
        <v>0</v>
      </c>
      <c r="E1043" s="2" t="str">
        <f>"0005206140"</f>
        <v>0005206140</v>
      </c>
      <c r="F1043" s="5">
        <v>43031</v>
      </c>
      <c r="G1043" s="5">
        <v>54789</v>
      </c>
      <c r="H1043" s="4" t="str">
        <f>""</f>
        <v/>
      </c>
      <c r="I1043" s="4" t="str">
        <f>""</f>
        <v/>
      </c>
    </row>
    <row r="1044" spans="1:9" x14ac:dyDescent="0.3">
      <c r="A1044" s="1" t="str">
        <f>"33"</f>
        <v>33</v>
      </c>
      <c r="B1044" s="4" t="str">
        <f>"AFM RECYCLAGE"</f>
        <v>AFM RECYCLAGE</v>
      </c>
      <c r="C1044" s="4">
        <v>383482635</v>
      </c>
      <c r="D1044" s="3" t="s">
        <v>0</v>
      </c>
      <c r="E1044" s="2" t="str">
        <f>"PR3300065D"</f>
        <v>PR3300065D</v>
      </c>
      <c r="F1044" s="5">
        <v>45328</v>
      </c>
      <c r="G1044" s="5">
        <v>54789</v>
      </c>
      <c r="H1044" s="4" t="str">
        <f>""</f>
        <v/>
      </c>
      <c r="I1044" s="4" t="str">
        <f>""</f>
        <v/>
      </c>
    </row>
    <row r="1045" spans="1:9" x14ac:dyDescent="0.3">
      <c r="A1045" s="1" t="str">
        <f>"33"</f>
        <v>33</v>
      </c>
      <c r="B1045" s="4" t="str">
        <f>"SOCIETE AFM RECYCLAGE"</f>
        <v>SOCIETE AFM RECYCLAGE</v>
      </c>
      <c r="C1045" s="4">
        <v>383482635</v>
      </c>
      <c r="D1045" s="3" t="s">
        <v>0</v>
      </c>
      <c r="E1045" s="2" t="str">
        <f>"0005211494"</f>
        <v>0005211494</v>
      </c>
      <c r="F1045" s="5">
        <v>43801</v>
      </c>
      <c r="G1045" s="5">
        <v>54789</v>
      </c>
      <c r="H1045" s="4" t="str">
        <f>""</f>
        <v/>
      </c>
      <c r="I1045" s="4" t="str">
        <f>""</f>
        <v/>
      </c>
    </row>
    <row r="1046" spans="1:9" x14ac:dyDescent="0.3">
      <c r="A1046" s="1" t="str">
        <f>"33"</f>
        <v>33</v>
      </c>
      <c r="B1046" s="4" t="str">
        <f>"AFM RECYCLAGE"</f>
        <v>AFM RECYCLAGE</v>
      </c>
      <c r="C1046" s="4">
        <v>383482635</v>
      </c>
      <c r="D1046" s="3" t="s">
        <v>0</v>
      </c>
      <c r="E1046" s="2" t="str">
        <f>"0005201398"</f>
        <v>0005201398</v>
      </c>
      <c r="F1046" s="5">
        <v>43217</v>
      </c>
      <c r="G1046" s="5">
        <v>54789</v>
      </c>
      <c r="H1046" s="4" t="str">
        <f>""</f>
        <v/>
      </c>
      <c r="I1046" s="4" t="str">
        <f>""</f>
        <v/>
      </c>
    </row>
    <row r="1047" spans="1:9" x14ac:dyDescent="0.3">
      <c r="A1047" s="1" t="str">
        <f>"33"</f>
        <v>33</v>
      </c>
      <c r="B1047" s="4" t="str">
        <f>"AFM RECYCLAGE-COUTRAS"</f>
        <v>AFM RECYCLAGE-COUTRAS</v>
      </c>
      <c r="C1047" s="4">
        <v>383482635</v>
      </c>
      <c r="D1047" s="3" t="s">
        <v>0</v>
      </c>
      <c r="E1047" s="2" t="str">
        <f>"0005208458"</f>
        <v>0005208458</v>
      </c>
      <c r="F1047" s="5">
        <v>43399</v>
      </c>
      <c r="G1047" s="5">
        <v>54789</v>
      </c>
      <c r="H1047" s="4" t="str">
        <f>""</f>
        <v/>
      </c>
      <c r="I1047" s="4" t="str">
        <f>""</f>
        <v/>
      </c>
    </row>
    <row r="1048" spans="1:9" x14ac:dyDescent="0.3">
      <c r="A1048" s="1" t="str">
        <f>"33"</f>
        <v>33</v>
      </c>
      <c r="B1048" s="4" t="str">
        <f>"AFM RECYCLAGE"</f>
        <v>AFM RECYCLAGE</v>
      </c>
      <c r="C1048" s="4">
        <v>383482635</v>
      </c>
      <c r="D1048" s="3" t="s">
        <v>0</v>
      </c>
      <c r="E1048" s="2" t="str">
        <f>"PR3300004B"</f>
        <v>PR3300004B</v>
      </c>
      <c r="F1048" s="5">
        <v>38847</v>
      </c>
      <c r="G1048" s="5">
        <v>54789</v>
      </c>
      <c r="H1048" s="4" t="str">
        <f>""</f>
        <v/>
      </c>
      <c r="I1048" s="4" t="str">
        <f>""</f>
        <v/>
      </c>
    </row>
    <row r="1049" spans="1:9" x14ac:dyDescent="0.3">
      <c r="A1049" s="1" t="str">
        <f>"33"</f>
        <v>33</v>
      </c>
      <c r="B1049" s="4" t="str">
        <f>"SOCIETE AFM RECYCLAGE"</f>
        <v>SOCIETE AFM RECYCLAGE</v>
      </c>
      <c r="C1049" s="4">
        <v>383482635</v>
      </c>
      <c r="D1049" s="3" t="s">
        <v>0</v>
      </c>
      <c r="E1049" s="2" t="str">
        <f>"0005200989"</f>
        <v>0005200989</v>
      </c>
      <c r="F1049" s="5">
        <v>42831</v>
      </c>
      <c r="G1049" s="5">
        <v>54789</v>
      </c>
      <c r="H1049" s="4" t="str">
        <f>""</f>
        <v/>
      </c>
      <c r="I1049" s="4" t="str">
        <f>""</f>
        <v/>
      </c>
    </row>
    <row r="1050" spans="1:9" x14ac:dyDescent="0.3">
      <c r="A1050" s="1" t="str">
        <f>"33"</f>
        <v>33</v>
      </c>
      <c r="B1050" s="4" t="str">
        <f>"AFM RECYCLAGE"</f>
        <v>AFM RECYCLAGE</v>
      </c>
      <c r="C1050" s="4">
        <v>383482635</v>
      </c>
      <c r="D1050" s="3" t="s">
        <v>0</v>
      </c>
      <c r="E1050" s="2" t="str">
        <f>"PR3300004B"</f>
        <v>PR3300004B</v>
      </c>
      <c r="F1050" s="5">
        <v>38847</v>
      </c>
      <c r="G1050" s="5">
        <v>54789</v>
      </c>
      <c r="H1050" s="4" t="str">
        <f>""</f>
        <v/>
      </c>
      <c r="I1050" s="4" t="str">
        <f>""</f>
        <v/>
      </c>
    </row>
    <row r="1051" spans="1:9" x14ac:dyDescent="0.3">
      <c r="A1051" s="1" t="str">
        <f>"33"</f>
        <v>33</v>
      </c>
      <c r="B1051" s="4" t="str">
        <f>"SOCIETE AFM RECYCLAGE"</f>
        <v>SOCIETE AFM RECYCLAGE</v>
      </c>
      <c r="C1051" s="4">
        <v>383482635</v>
      </c>
      <c r="D1051" s="3" t="s">
        <v>0</v>
      </c>
      <c r="E1051" s="2" t="str">
        <f>"PR3300051B"</f>
        <v>PR3300051B</v>
      </c>
      <c r="F1051" s="5">
        <v>43801</v>
      </c>
      <c r="G1051" s="5">
        <v>54789</v>
      </c>
      <c r="H1051" s="4" t="str">
        <f>""</f>
        <v/>
      </c>
      <c r="I1051" s="4" t="str">
        <f>""</f>
        <v/>
      </c>
    </row>
    <row r="1052" spans="1:9" x14ac:dyDescent="0.3">
      <c r="A1052" s="1" t="str">
        <f>"33"</f>
        <v>33</v>
      </c>
      <c r="B1052" s="4" t="str">
        <f>"SOCIETE AFM RECYCLAGE"</f>
        <v>SOCIETE AFM RECYCLAGE</v>
      </c>
      <c r="C1052" s="4">
        <v>383482635</v>
      </c>
      <c r="D1052" s="3" t="s">
        <v>0</v>
      </c>
      <c r="E1052" s="2" t="str">
        <f>"PR3300051D"</f>
        <v>PR3300051D</v>
      </c>
      <c r="F1052" s="5">
        <v>43801</v>
      </c>
      <c r="G1052" s="5">
        <v>54789</v>
      </c>
      <c r="H1052" s="4" t="str">
        <f>""</f>
        <v/>
      </c>
      <c r="I1052" s="4" t="str">
        <f>""</f>
        <v/>
      </c>
    </row>
    <row r="1053" spans="1:9" x14ac:dyDescent="0.3">
      <c r="A1053" s="1" t="str">
        <f>"33"</f>
        <v>33</v>
      </c>
      <c r="B1053" s="4" t="str">
        <f>"SOCIETE AFM RECYCLAGE"</f>
        <v>SOCIETE AFM RECYCLAGE</v>
      </c>
      <c r="C1053" s="4">
        <v>383482635</v>
      </c>
      <c r="D1053" s="3" t="s">
        <v>0</v>
      </c>
      <c r="E1053" s="2" t="str">
        <f>"PR3300054D"</f>
        <v>PR3300054D</v>
      </c>
      <c r="F1053" s="5">
        <v>42831</v>
      </c>
      <c r="G1053" s="5">
        <v>54789</v>
      </c>
      <c r="H1053" s="4" t="str">
        <f>""</f>
        <v/>
      </c>
      <c r="I1053" s="4" t="str">
        <f>""</f>
        <v/>
      </c>
    </row>
    <row r="1054" spans="1:9" x14ac:dyDescent="0.3">
      <c r="A1054" s="1" t="str">
        <f>"33"</f>
        <v>33</v>
      </c>
      <c r="B1054" s="4" t="str">
        <f>"SOCIETE AFM RECYCLAGE"</f>
        <v>SOCIETE AFM RECYCLAGE</v>
      </c>
      <c r="C1054" s="4">
        <v>383482635</v>
      </c>
      <c r="D1054" s="3" t="s">
        <v>0</v>
      </c>
      <c r="E1054" s="2" t="str">
        <f>"PR3300056D"</f>
        <v>PR3300056D</v>
      </c>
      <c r="F1054" s="5">
        <v>43031</v>
      </c>
      <c r="G1054" s="5">
        <v>54789</v>
      </c>
      <c r="H1054" s="4" t="str">
        <f>""</f>
        <v/>
      </c>
      <c r="I1054" s="4" t="str">
        <f>""</f>
        <v/>
      </c>
    </row>
    <row r="1055" spans="1:9" x14ac:dyDescent="0.3">
      <c r="A1055" s="1" t="str">
        <f>"33"</f>
        <v>33</v>
      </c>
      <c r="B1055" s="4" t="str">
        <f>"AFM RECYCLAGE"</f>
        <v>AFM RECYCLAGE</v>
      </c>
      <c r="C1055" s="4">
        <v>383482635</v>
      </c>
      <c r="D1055" s="3" t="s">
        <v>0</v>
      </c>
      <c r="E1055" s="2" t="str">
        <f>"PR3300058D"</f>
        <v>PR3300058D</v>
      </c>
      <c r="F1055" s="5">
        <v>43217</v>
      </c>
      <c r="G1055" s="5">
        <v>54789</v>
      </c>
      <c r="H1055" s="4" t="str">
        <f>""</f>
        <v/>
      </c>
      <c r="I1055" s="4" t="str">
        <f>""</f>
        <v/>
      </c>
    </row>
    <row r="1056" spans="1:9" x14ac:dyDescent="0.3">
      <c r="A1056" s="1" t="str">
        <f>"33"</f>
        <v>33</v>
      </c>
      <c r="B1056" s="4" t="str">
        <f>"AFM RECYCLAGE-COUTRAS"</f>
        <v>AFM RECYCLAGE-COUTRAS</v>
      </c>
      <c r="C1056" s="4">
        <v>383482635</v>
      </c>
      <c r="D1056" s="3" t="s">
        <v>0</v>
      </c>
      <c r="E1056" s="2" t="str">
        <f>"PR3300060D"</f>
        <v>PR3300060D</v>
      </c>
      <c r="F1056" s="5">
        <v>43399</v>
      </c>
      <c r="G1056" s="5">
        <v>54789</v>
      </c>
      <c r="H1056" s="4" t="str">
        <f>""</f>
        <v/>
      </c>
      <c r="I1056" s="4" t="str">
        <f>""</f>
        <v/>
      </c>
    </row>
    <row r="1057" spans="1:9" x14ac:dyDescent="0.3">
      <c r="A1057" s="1" t="str">
        <f>"33"</f>
        <v>33</v>
      </c>
      <c r="B1057" s="4" t="str">
        <f>"AFM RECYCLAGE-COUTRAS"</f>
        <v>AFM RECYCLAGE-COUTRAS</v>
      </c>
      <c r="C1057" s="4">
        <v>383482635</v>
      </c>
      <c r="D1057" s="3" t="s">
        <v>0</v>
      </c>
      <c r="E1057" s="2" t="str">
        <f>"0005208458"</f>
        <v>0005208458</v>
      </c>
      <c r="F1057" s="5">
        <v>43399</v>
      </c>
      <c r="G1057" s="5">
        <v>54789</v>
      </c>
      <c r="H1057" s="4" t="str">
        <f>""</f>
        <v/>
      </c>
      <c r="I1057" s="4" t="str">
        <f>""</f>
        <v/>
      </c>
    </row>
    <row r="1058" spans="1:9" x14ac:dyDescent="0.3">
      <c r="A1058" s="1" t="str">
        <f>"33"</f>
        <v>33</v>
      </c>
      <c r="B1058" s="4" t="str">
        <f>"LAPOULE ROLAND"</f>
        <v>LAPOULE ROLAND</v>
      </c>
      <c r="C1058" s="4">
        <v>384495800</v>
      </c>
      <c r="D1058" s="3" t="s">
        <v>0</v>
      </c>
      <c r="E1058" s="2" t="str">
        <f>"0005206881"</f>
        <v>0005206881</v>
      </c>
      <c r="F1058" s="5">
        <v>41407</v>
      </c>
      <c r="G1058" s="5">
        <v>54789</v>
      </c>
      <c r="H1058" s="4" t="str">
        <f>""</f>
        <v/>
      </c>
      <c r="I1058" s="4" t="str">
        <f>""</f>
        <v/>
      </c>
    </row>
    <row r="1059" spans="1:9" x14ac:dyDescent="0.3">
      <c r="A1059" s="1" t="str">
        <f>"33"</f>
        <v>33</v>
      </c>
      <c r="B1059" s="4" t="str">
        <f>"LAPOULE ROLAND"</f>
        <v>LAPOULE ROLAND</v>
      </c>
      <c r="C1059" s="4">
        <v>384495800</v>
      </c>
      <c r="D1059" s="3" t="s">
        <v>0</v>
      </c>
      <c r="E1059" s="2" t="str">
        <f>"PR3300010D"</f>
        <v>PR3300010D</v>
      </c>
      <c r="F1059" s="5">
        <v>41407</v>
      </c>
      <c r="G1059" s="5">
        <v>54789</v>
      </c>
      <c r="H1059" s="4" t="str">
        <f>""</f>
        <v/>
      </c>
      <c r="I1059" s="4" t="str">
        <f>""</f>
        <v/>
      </c>
    </row>
    <row r="1060" spans="1:9" x14ac:dyDescent="0.3">
      <c r="A1060" s="1" t="str">
        <f>"33"</f>
        <v>33</v>
      </c>
      <c r="B1060" s="4" t="str">
        <f>"LAPOULE ROLAND"</f>
        <v>LAPOULE ROLAND</v>
      </c>
      <c r="C1060" s="4">
        <v>384495800</v>
      </c>
      <c r="D1060" s="3" t="s">
        <v>0</v>
      </c>
      <c r="E1060" s="2" t="str">
        <f>"PR3300010D"</f>
        <v>PR3300010D</v>
      </c>
      <c r="F1060" s="5">
        <v>41407</v>
      </c>
      <c r="G1060" s="5">
        <v>54789</v>
      </c>
      <c r="H1060" s="4" t="str">
        <f>""</f>
        <v/>
      </c>
      <c r="I1060" s="4" t="str">
        <f>""</f>
        <v/>
      </c>
    </row>
    <row r="1061" spans="1:9" x14ac:dyDescent="0.3">
      <c r="A1061" s="1" t="str">
        <f>"33"</f>
        <v>33</v>
      </c>
      <c r="B1061" s="4" t="str">
        <f>"LAPOULE ROLAND"</f>
        <v>LAPOULE ROLAND</v>
      </c>
      <c r="C1061" s="4">
        <v>384495800</v>
      </c>
      <c r="D1061" s="3" t="s">
        <v>0</v>
      </c>
      <c r="E1061" s="2" t="str">
        <f>"0005206881"</f>
        <v>0005206881</v>
      </c>
      <c r="F1061" s="5">
        <v>41407</v>
      </c>
      <c r="G1061" s="5">
        <v>54789</v>
      </c>
      <c r="H1061" s="4" t="str">
        <f>""</f>
        <v/>
      </c>
      <c r="I1061" s="4" t="str">
        <f>""</f>
        <v/>
      </c>
    </row>
    <row r="1062" spans="1:9" x14ac:dyDescent="0.3">
      <c r="A1062" s="1" t="str">
        <f>"33"</f>
        <v>33</v>
      </c>
      <c r="B1062" s="4" t="str">
        <f>"SAS AUTOMOBILE SERVICES"</f>
        <v>SAS AUTOMOBILE SERVICES</v>
      </c>
      <c r="C1062" s="4">
        <v>393145537</v>
      </c>
      <c r="D1062" s="3" t="s">
        <v>0</v>
      </c>
      <c r="E1062" s="2" t="str">
        <f>"0005204844"</f>
        <v>0005204844</v>
      </c>
      <c r="F1062" s="5">
        <v>43489</v>
      </c>
      <c r="G1062" s="5">
        <v>54789</v>
      </c>
      <c r="H1062" s="4" t="str">
        <f>""</f>
        <v/>
      </c>
      <c r="I1062" s="4" t="str">
        <f>""</f>
        <v/>
      </c>
    </row>
    <row r="1063" spans="1:9" x14ac:dyDescent="0.3">
      <c r="A1063" s="1" t="str">
        <f>"33"</f>
        <v>33</v>
      </c>
      <c r="B1063" s="4" t="str">
        <f>"SAS AUTOMOBILE SERVICES"</f>
        <v>SAS AUTOMOBILE SERVICES</v>
      </c>
      <c r="C1063" s="4">
        <v>393145537</v>
      </c>
      <c r="D1063" s="3" t="s">
        <v>0</v>
      </c>
      <c r="E1063" s="2" t="str">
        <f>"PR3300021D"</f>
        <v>PR3300021D</v>
      </c>
      <c r="F1063" s="5">
        <v>39063</v>
      </c>
      <c r="G1063" s="5">
        <v>54789</v>
      </c>
      <c r="H1063" s="4" t="str">
        <f>""</f>
        <v/>
      </c>
      <c r="I1063" s="4" t="str">
        <f>""</f>
        <v/>
      </c>
    </row>
    <row r="1064" spans="1:9" x14ac:dyDescent="0.3">
      <c r="A1064" s="1" t="str">
        <f>"33"</f>
        <v>33</v>
      </c>
      <c r="B1064" s="4" t="str">
        <f>"SAS AUTOMOBILE SERVICES"</f>
        <v>SAS AUTOMOBILE SERVICES</v>
      </c>
      <c r="C1064" s="4">
        <v>393145537</v>
      </c>
      <c r="D1064" s="3" t="s">
        <v>0</v>
      </c>
      <c r="E1064" s="2" t="str">
        <f>"0005204844"</f>
        <v>0005204844</v>
      </c>
      <c r="F1064" s="5">
        <v>43489</v>
      </c>
      <c r="G1064" s="5">
        <v>54789</v>
      </c>
      <c r="H1064" s="4" t="str">
        <f>""</f>
        <v/>
      </c>
      <c r="I1064" s="4" t="str">
        <f>""</f>
        <v/>
      </c>
    </row>
    <row r="1065" spans="1:9" x14ac:dyDescent="0.3">
      <c r="A1065" s="1" t="str">
        <f>"33"</f>
        <v>33</v>
      </c>
      <c r="B1065" s="4" t="str">
        <f>"SAS AUTOMOBILE SERVICES"</f>
        <v>SAS AUTOMOBILE SERVICES</v>
      </c>
      <c r="C1065" s="4">
        <v>393145537</v>
      </c>
      <c r="D1065" s="3" t="s">
        <v>0</v>
      </c>
      <c r="E1065" s="2" t="str">
        <f>"PR3300021D"</f>
        <v>PR3300021D</v>
      </c>
      <c r="F1065" s="5">
        <v>39063</v>
      </c>
      <c r="G1065" s="5">
        <v>54789</v>
      </c>
      <c r="H1065" s="4" t="str">
        <f>""</f>
        <v/>
      </c>
      <c r="I1065" s="4" t="str">
        <f>""</f>
        <v/>
      </c>
    </row>
    <row r="1066" spans="1:9" x14ac:dyDescent="0.3">
      <c r="A1066" s="1" t="str">
        <f>"33"</f>
        <v>33</v>
      </c>
      <c r="B1066" s="4" t="str">
        <f>"SARL MOULIS ET FILS"</f>
        <v>SARL MOULIS ET FILS</v>
      </c>
      <c r="C1066" s="4">
        <v>394035935</v>
      </c>
      <c r="D1066" s="3" t="s">
        <v>0</v>
      </c>
      <c r="E1066" s="2" t="str">
        <f>"0005201372"</f>
        <v>0005201372</v>
      </c>
      <c r="F1066" s="5">
        <v>43696</v>
      </c>
      <c r="G1066" s="5">
        <v>54789</v>
      </c>
      <c r="H1066" s="4" t="str">
        <f>""</f>
        <v/>
      </c>
      <c r="I1066" s="4" t="str">
        <f>""</f>
        <v/>
      </c>
    </row>
    <row r="1067" spans="1:9" x14ac:dyDescent="0.3">
      <c r="A1067" s="1" t="str">
        <f>"33"</f>
        <v>33</v>
      </c>
      <c r="B1067" s="4" t="str">
        <f>"SARL MOULIS ET FILS"</f>
        <v>SARL MOULIS ET FILS</v>
      </c>
      <c r="C1067" s="4">
        <v>394035935</v>
      </c>
      <c r="D1067" s="3" t="s">
        <v>0</v>
      </c>
      <c r="E1067" s="2" t="str">
        <f>"PR3300023D"</f>
        <v>PR3300023D</v>
      </c>
      <c r="F1067" s="5">
        <v>43696</v>
      </c>
      <c r="G1067" s="5">
        <v>54789</v>
      </c>
      <c r="H1067" s="4" t="str">
        <f>""</f>
        <v/>
      </c>
      <c r="I1067" s="4" t="str">
        <f>""</f>
        <v/>
      </c>
    </row>
    <row r="1068" spans="1:9" x14ac:dyDescent="0.3">
      <c r="A1068" s="1" t="str">
        <f>"33"</f>
        <v>33</v>
      </c>
      <c r="B1068" s="4" t="str">
        <f>"SARL MOULIS ET FILS"</f>
        <v>SARL MOULIS ET FILS</v>
      </c>
      <c r="C1068" s="4">
        <v>394035935</v>
      </c>
      <c r="D1068" s="3" t="s">
        <v>0</v>
      </c>
      <c r="E1068" s="2" t="str">
        <f>"PR3300023D"</f>
        <v>PR3300023D</v>
      </c>
      <c r="F1068" s="5">
        <v>43696</v>
      </c>
      <c r="G1068" s="5">
        <v>54789</v>
      </c>
      <c r="H1068" s="4" t="str">
        <f>""</f>
        <v/>
      </c>
      <c r="I1068" s="4" t="str">
        <f>""</f>
        <v/>
      </c>
    </row>
    <row r="1069" spans="1:9" x14ac:dyDescent="0.3">
      <c r="A1069" s="1" t="str">
        <f>"33"</f>
        <v>33</v>
      </c>
      <c r="B1069" s="4" t="str">
        <f>"SARL MOULIS ET FILS"</f>
        <v>SARL MOULIS ET FILS</v>
      </c>
      <c r="C1069" s="4">
        <v>394035935</v>
      </c>
      <c r="D1069" s="3" t="s">
        <v>0</v>
      </c>
      <c r="E1069" s="2" t="str">
        <f>"0005201372"</f>
        <v>0005201372</v>
      </c>
      <c r="F1069" s="5">
        <v>43696</v>
      </c>
      <c r="G1069" s="5">
        <v>54789</v>
      </c>
      <c r="H1069" s="4" t="str">
        <f>""</f>
        <v/>
      </c>
      <c r="I1069" s="4" t="str">
        <f>""</f>
        <v/>
      </c>
    </row>
    <row r="1070" spans="1:9" x14ac:dyDescent="0.3">
      <c r="A1070" s="1" t="str">
        <f>"33"</f>
        <v>33</v>
      </c>
      <c r="B1070" s="4" t="str">
        <f>"SARL FCA"</f>
        <v>SARL FCA</v>
      </c>
      <c r="C1070" s="4">
        <v>397481516</v>
      </c>
      <c r="D1070" s="3" t="s">
        <v>0</v>
      </c>
      <c r="E1070" s="2" t="str">
        <f>"0005201299"</f>
        <v>0005201299</v>
      </c>
      <c r="F1070" s="5">
        <v>43244</v>
      </c>
      <c r="G1070" s="5">
        <v>54789</v>
      </c>
      <c r="H1070" s="4" t="str">
        <f>""</f>
        <v/>
      </c>
      <c r="I1070" s="4" t="str">
        <f>""</f>
        <v/>
      </c>
    </row>
    <row r="1071" spans="1:9" x14ac:dyDescent="0.3">
      <c r="A1071" s="1" t="str">
        <f>"33"</f>
        <v>33</v>
      </c>
      <c r="B1071" s="4" t="str">
        <f>"SARL FCA"</f>
        <v>SARL FCA</v>
      </c>
      <c r="C1071" s="4">
        <v>397481516</v>
      </c>
      <c r="D1071" s="3" t="s">
        <v>0</v>
      </c>
      <c r="E1071" s="2" t="str">
        <f>"0005201299"</f>
        <v>0005201299</v>
      </c>
      <c r="F1071" s="5">
        <v>43244</v>
      </c>
      <c r="G1071" s="5">
        <v>54789</v>
      </c>
      <c r="H1071" s="4" t="str">
        <f>""</f>
        <v/>
      </c>
      <c r="I1071" s="4" t="str">
        <f>""</f>
        <v/>
      </c>
    </row>
    <row r="1072" spans="1:9" x14ac:dyDescent="0.3">
      <c r="A1072" s="1" t="str">
        <f>"33"</f>
        <v>33</v>
      </c>
      <c r="B1072" s="4" t="str">
        <f>"SARL FCA"</f>
        <v>SARL FCA</v>
      </c>
      <c r="C1072" s="4">
        <v>397481516</v>
      </c>
      <c r="D1072" s="3" t="s">
        <v>0</v>
      </c>
      <c r="E1072" s="2" t="str">
        <f>"PR3300002D"</f>
        <v>PR3300002D</v>
      </c>
      <c r="F1072" s="5">
        <v>43244</v>
      </c>
      <c r="G1072" s="5">
        <v>54789</v>
      </c>
      <c r="H1072" s="4" t="str">
        <f>""</f>
        <v/>
      </c>
      <c r="I1072" s="4" t="str">
        <f>""</f>
        <v/>
      </c>
    </row>
    <row r="1073" spans="1:9" x14ac:dyDescent="0.3">
      <c r="A1073" s="1" t="str">
        <f>"33"</f>
        <v>33</v>
      </c>
      <c r="B1073" s="4" t="str">
        <f>"SARL FCA"</f>
        <v>SARL FCA</v>
      </c>
      <c r="C1073" s="4">
        <v>397481516</v>
      </c>
      <c r="D1073" s="3" t="s">
        <v>0</v>
      </c>
      <c r="E1073" s="2" t="str">
        <f>"PR3300002D"</f>
        <v>PR3300002D</v>
      </c>
      <c r="F1073" s="5">
        <v>43244</v>
      </c>
      <c r="G1073" s="5">
        <v>54789</v>
      </c>
      <c r="H1073" s="4" t="str">
        <f>""</f>
        <v/>
      </c>
      <c r="I1073" s="4" t="str">
        <f>""</f>
        <v/>
      </c>
    </row>
    <row r="1074" spans="1:9" x14ac:dyDescent="0.3">
      <c r="A1074" s="1" t="str">
        <f>"33"</f>
        <v>33</v>
      </c>
      <c r="B1074" s="4" t="str">
        <f>"SARL CENTRALE CASSE"</f>
        <v>SARL CENTRALE CASSE</v>
      </c>
      <c r="C1074" s="4">
        <v>398420224</v>
      </c>
      <c r="D1074" s="3" t="s">
        <v>0</v>
      </c>
      <c r="E1074" s="2" t="str">
        <f>"0005209513"</f>
        <v>0005209513</v>
      </c>
      <c r="F1074" s="5">
        <v>43249</v>
      </c>
      <c r="G1074" s="5">
        <v>54789</v>
      </c>
      <c r="H1074" s="4" t="str">
        <f>""</f>
        <v/>
      </c>
      <c r="I1074" s="4" t="str">
        <f>""</f>
        <v/>
      </c>
    </row>
    <row r="1075" spans="1:9" x14ac:dyDescent="0.3">
      <c r="A1075" s="1" t="str">
        <f>"33"</f>
        <v>33</v>
      </c>
      <c r="B1075" s="4" t="str">
        <f>"SARL CENTRALE CASSE"</f>
        <v>SARL CENTRALE CASSE</v>
      </c>
      <c r="C1075" s="4">
        <v>398420224</v>
      </c>
      <c r="D1075" s="3" t="s">
        <v>0</v>
      </c>
      <c r="E1075" s="2" t="str">
        <f>"PR3300046D"</f>
        <v>PR3300046D</v>
      </c>
      <c r="F1075" s="5">
        <v>43249</v>
      </c>
      <c r="G1075" s="5">
        <v>54789</v>
      </c>
      <c r="H1075" s="4" t="str">
        <f>""</f>
        <v/>
      </c>
      <c r="I1075" s="4" t="str">
        <f>""</f>
        <v/>
      </c>
    </row>
    <row r="1076" spans="1:9" x14ac:dyDescent="0.3">
      <c r="A1076" s="1" t="str">
        <f>"33"</f>
        <v>33</v>
      </c>
      <c r="B1076" s="4" t="str">
        <f>"SARL CENTRALE CASSE"</f>
        <v>SARL CENTRALE CASSE</v>
      </c>
      <c r="C1076" s="4">
        <v>398420224</v>
      </c>
      <c r="D1076" s="3" t="s">
        <v>0</v>
      </c>
      <c r="E1076" s="2" t="str">
        <f>"0005209513"</f>
        <v>0005209513</v>
      </c>
      <c r="F1076" s="5">
        <v>43249</v>
      </c>
      <c r="G1076" s="5">
        <v>54789</v>
      </c>
      <c r="H1076" s="4" t="str">
        <f>""</f>
        <v/>
      </c>
      <c r="I1076" s="4" t="str">
        <f>""</f>
        <v/>
      </c>
    </row>
    <row r="1077" spans="1:9" x14ac:dyDescent="0.3">
      <c r="A1077" s="1" t="str">
        <f>"33"</f>
        <v>33</v>
      </c>
      <c r="B1077" s="4" t="str">
        <f>"SARL CENTRALE CASSE"</f>
        <v>SARL CENTRALE CASSE</v>
      </c>
      <c r="C1077" s="4">
        <v>398420224</v>
      </c>
      <c r="D1077" s="3" t="s">
        <v>0</v>
      </c>
      <c r="E1077" s="2" t="str">
        <f>"PR3300046D"</f>
        <v>PR3300046D</v>
      </c>
      <c r="F1077" s="5">
        <v>43249</v>
      </c>
      <c r="G1077" s="5">
        <v>54789</v>
      </c>
      <c r="H1077" s="4" t="str">
        <f>""</f>
        <v/>
      </c>
      <c r="I1077" s="4" t="str">
        <f>""</f>
        <v/>
      </c>
    </row>
    <row r="1078" spans="1:9" x14ac:dyDescent="0.3">
      <c r="A1078" s="1" t="str">
        <f>"33"</f>
        <v>33</v>
      </c>
      <c r="B1078" s="4" t="str">
        <f>"SAS BTVA"</f>
        <v>SAS BTVA</v>
      </c>
      <c r="C1078" s="4">
        <v>398467506</v>
      </c>
      <c r="D1078" s="3" t="s">
        <v>0</v>
      </c>
      <c r="E1078" s="2" t="str">
        <f>"0005207042"</f>
        <v>0005207042</v>
      </c>
      <c r="F1078" s="5">
        <v>43124</v>
      </c>
      <c r="G1078" s="5">
        <v>54789</v>
      </c>
      <c r="H1078" s="4" t="str">
        <f>""</f>
        <v/>
      </c>
      <c r="I1078" s="4" t="str">
        <f>""</f>
        <v/>
      </c>
    </row>
    <row r="1079" spans="1:9" x14ac:dyDescent="0.3">
      <c r="A1079" s="1" t="str">
        <f>"33"</f>
        <v>33</v>
      </c>
      <c r="B1079" s="4" t="str">
        <f>"SAS BTVA"</f>
        <v>SAS BTVA</v>
      </c>
      <c r="C1079" s="4">
        <v>398467506</v>
      </c>
      <c r="D1079" s="3" t="s">
        <v>0</v>
      </c>
      <c r="E1079" s="2" t="str">
        <f>"0005207042"</f>
        <v>0005207042</v>
      </c>
      <c r="F1079" s="5">
        <v>43124</v>
      </c>
      <c r="G1079" s="5">
        <v>54789</v>
      </c>
      <c r="H1079" s="4" t="str">
        <f>""</f>
        <v/>
      </c>
      <c r="I1079" s="4" t="str">
        <f>""</f>
        <v/>
      </c>
    </row>
    <row r="1080" spans="1:9" x14ac:dyDescent="0.3">
      <c r="A1080" s="1" t="str">
        <f>"33"</f>
        <v>33</v>
      </c>
      <c r="B1080" s="4" t="str">
        <f>"SAS BTVA"</f>
        <v>SAS BTVA</v>
      </c>
      <c r="C1080" s="4">
        <v>398467506</v>
      </c>
      <c r="D1080" s="3" t="s">
        <v>0</v>
      </c>
      <c r="E1080" s="2" t="str">
        <f>"PR3300001D"</f>
        <v>PR3300001D</v>
      </c>
      <c r="F1080" s="5">
        <v>40990</v>
      </c>
      <c r="G1080" s="5">
        <v>54789</v>
      </c>
      <c r="H1080" s="4" t="str">
        <f>""</f>
        <v/>
      </c>
      <c r="I1080" s="4" t="str">
        <f>""</f>
        <v/>
      </c>
    </row>
    <row r="1081" spans="1:9" x14ac:dyDescent="0.3">
      <c r="A1081" s="1" t="str">
        <f>"33"</f>
        <v>33</v>
      </c>
      <c r="B1081" s="4" t="str">
        <f>"SAS BTVA"</f>
        <v>SAS BTVA</v>
      </c>
      <c r="C1081" s="4">
        <v>398467506</v>
      </c>
      <c r="D1081" s="3" t="s">
        <v>0</v>
      </c>
      <c r="E1081" s="2" t="str">
        <f>"PR3300001D"</f>
        <v>PR3300001D</v>
      </c>
      <c r="F1081" s="5">
        <v>40990</v>
      </c>
      <c r="G1081" s="5">
        <v>54789</v>
      </c>
      <c r="H1081" s="4" t="str">
        <f>""</f>
        <v/>
      </c>
      <c r="I1081" s="4" t="str">
        <f>""</f>
        <v/>
      </c>
    </row>
    <row r="1082" spans="1:9" x14ac:dyDescent="0.3">
      <c r="A1082" s="1" t="str">
        <f>"33"</f>
        <v>33</v>
      </c>
      <c r="B1082" s="4" t="str">
        <f>"SARL AUTO PIECES"</f>
        <v>SARL AUTO PIECES</v>
      </c>
      <c r="C1082" s="4">
        <v>402165104</v>
      </c>
      <c r="D1082" s="3" t="s">
        <v>0</v>
      </c>
      <c r="E1082" s="2" t="str">
        <f>"0005201132"</f>
        <v>0005201132</v>
      </c>
      <c r="F1082" s="5">
        <v>43307</v>
      </c>
      <c r="G1082" s="5">
        <v>54789</v>
      </c>
      <c r="H1082" s="4" t="str">
        <f>""</f>
        <v/>
      </c>
      <c r="I1082" s="4" t="str">
        <f>""</f>
        <v/>
      </c>
    </row>
    <row r="1083" spans="1:9" x14ac:dyDescent="0.3">
      <c r="A1083" s="1" t="str">
        <f>"33"</f>
        <v>33</v>
      </c>
      <c r="B1083" s="4" t="str">
        <f>"SARL AUTO PIECES"</f>
        <v>SARL AUTO PIECES</v>
      </c>
      <c r="C1083" s="4">
        <v>402165104</v>
      </c>
      <c r="D1083" s="3" t="s">
        <v>0</v>
      </c>
      <c r="E1083" s="2" t="str">
        <f>"0005201132"</f>
        <v>0005201132</v>
      </c>
      <c r="F1083" s="5">
        <v>43307</v>
      </c>
      <c r="G1083" s="5">
        <v>54789</v>
      </c>
      <c r="H1083" s="4" t="str">
        <f>""</f>
        <v/>
      </c>
      <c r="I1083" s="4" t="str">
        <f>""</f>
        <v/>
      </c>
    </row>
    <row r="1084" spans="1:9" x14ac:dyDescent="0.3">
      <c r="A1084" s="1" t="str">
        <f>"33"</f>
        <v>33</v>
      </c>
      <c r="B1084" s="4" t="str">
        <f>"SARL AUTO PIECES"</f>
        <v>SARL AUTO PIECES</v>
      </c>
      <c r="C1084" s="4">
        <v>402165104</v>
      </c>
      <c r="D1084" s="3" t="s">
        <v>0</v>
      </c>
      <c r="E1084" s="2" t="str">
        <f>"PR3300003D"</f>
        <v>PR3300003D</v>
      </c>
      <c r="F1084" s="5">
        <v>41123</v>
      </c>
      <c r="G1084" s="5">
        <v>54789</v>
      </c>
      <c r="H1084" s="4" t="str">
        <f>""</f>
        <v/>
      </c>
      <c r="I1084" s="4" t="str">
        <f>""</f>
        <v/>
      </c>
    </row>
    <row r="1085" spans="1:9" x14ac:dyDescent="0.3">
      <c r="A1085" s="1" t="str">
        <f>"33"</f>
        <v>33</v>
      </c>
      <c r="B1085" s="4" t="str">
        <f>"SARL AUTO PIECES"</f>
        <v>SARL AUTO PIECES</v>
      </c>
      <c r="C1085" s="4">
        <v>402165104</v>
      </c>
      <c r="D1085" s="3" t="s">
        <v>0</v>
      </c>
      <c r="E1085" s="2" t="str">
        <f>"PR3300003D"</f>
        <v>PR3300003D</v>
      </c>
      <c r="F1085" s="5">
        <v>41123</v>
      </c>
      <c r="G1085" s="5">
        <v>54789</v>
      </c>
      <c r="H1085" s="4" t="str">
        <f>""</f>
        <v/>
      </c>
      <c r="I1085" s="4" t="str">
        <f>""</f>
        <v/>
      </c>
    </row>
    <row r="1086" spans="1:9" x14ac:dyDescent="0.3">
      <c r="A1086" s="1" t="str">
        <f>"33"</f>
        <v>33</v>
      </c>
      <c r="B1086" s="4" t="str">
        <f>"DECONS SAS"</f>
        <v>DECONS SAS</v>
      </c>
      <c r="C1086" s="4">
        <v>402713119</v>
      </c>
      <c r="D1086" s="3" t="s">
        <v>0</v>
      </c>
      <c r="E1086" s="2" t="str">
        <f>"0003104018"</f>
        <v>0003104018</v>
      </c>
      <c r="F1086" s="5">
        <v>43234</v>
      </c>
      <c r="G1086" s="5">
        <v>54789</v>
      </c>
      <c r="H1086" s="4" t="str">
        <f>""</f>
        <v/>
      </c>
      <c r="I1086" s="4" t="str">
        <f>""</f>
        <v/>
      </c>
    </row>
    <row r="1087" spans="1:9" x14ac:dyDescent="0.3">
      <c r="A1087" s="1" t="str">
        <f>"33"</f>
        <v>33</v>
      </c>
      <c r="B1087" s="4" t="str">
        <f>"SA DECONS"</f>
        <v>SA DECONS</v>
      </c>
      <c r="C1087" s="4">
        <v>402713119</v>
      </c>
      <c r="D1087" s="3" t="s">
        <v>0</v>
      </c>
      <c r="E1087" s="2" t="str">
        <f>"PR3300048D"</f>
        <v>PR3300048D</v>
      </c>
      <c r="F1087" s="5">
        <v>41809</v>
      </c>
      <c r="G1087" s="5">
        <v>54789</v>
      </c>
      <c r="H1087" s="4" t="str">
        <f>""</f>
        <v/>
      </c>
      <c r="I1087" s="4" t="str">
        <f>""</f>
        <v/>
      </c>
    </row>
    <row r="1088" spans="1:9" x14ac:dyDescent="0.3">
      <c r="A1088" s="1" t="str">
        <f>"33"</f>
        <v>33</v>
      </c>
      <c r="B1088" s="4" t="str">
        <f>"DECONS SAS"</f>
        <v>DECONS SAS</v>
      </c>
      <c r="C1088" s="4">
        <v>402713119</v>
      </c>
      <c r="D1088" s="3" t="s">
        <v>0</v>
      </c>
      <c r="E1088" s="2" t="str">
        <f>"PR3300059D"</f>
        <v>PR3300059D</v>
      </c>
      <c r="F1088" s="5">
        <v>43234</v>
      </c>
      <c r="G1088" s="5">
        <v>54789</v>
      </c>
      <c r="H1088" s="4" t="str">
        <f>""</f>
        <v/>
      </c>
      <c r="I1088" s="4" t="str">
        <f>""</f>
        <v/>
      </c>
    </row>
    <row r="1089" spans="1:9" x14ac:dyDescent="0.3">
      <c r="A1089" s="1" t="str">
        <f>"33"</f>
        <v>33</v>
      </c>
      <c r="B1089" s="4" t="str">
        <f>"DECONS SAS"</f>
        <v>DECONS SAS</v>
      </c>
      <c r="C1089" s="4">
        <v>402713119</v>
      </c>
      <c r="D1089" s="3" t="s">
        <v>0</v>
      </c>
      <c r="E1089" s="2" t="str">
        <f>"0005201076"</f>
        <v>0005201076</v>
      </c>
      <c r="F1089" s="5">
        <v>43234</v>
      </c>
      <c r="G1089" s="5">
        <v>54789</v>
      </c>
      <c r="H1089" s="4" t="str">
        <f>""</f>
        <v/>
      </c>
      <c r="I1089" s="4" t="str">
        <f>""</f>
        <v/>
      </c>
    </row>
    <row r="1090" spans="1:9" x14ac:dyDescent="0.3">
      <c r="A1090" s="1" t="str">
        <f>"33"</f>
        <v>33</v>
      </c>
      <c r="B1090" s="4" t="str">
        <f>"DECONS SAS"</f>
        <v>DECONS SAS</v>
      </c>
      <c r="C1090" s="4">
        <v>402713119</v>
      </c>
      <c r="D1090" s="3" t="s">
        <v>0</v>
      </c>
      <c r="E1090" s="2" t="str">
        <f>"0003104018"</f>
        <v>0003104018</v>
      </c>
      <c r="F1090" s="5">
        <v>43234</v>
      </c>
      <c r="G1090" s="5">
        <v>54789</v>
      </c>
      <c r="H1090" s="4" t="str">
        <f>""</f>
        <v/>
      </c>
      <c r="I1090" s="4" t="str">
        <f>""</f>
        <v/>
      </c>
    </row>
    <row r="1091" spans="1:9" x14ac:dyDescent="0.3">
      <c r="A1091" s="1" t="str">
        <f>"33"</f>
        <v>33</v>
      </c>
      <c r="B1091" s="4" t="str">
        <f>"SA DECONS"</f>
        <v>SA DECONS</v>
      </c>
      <c r="C1091" s="4">
        <v>402713119</v>
      </c>
      <c r="D1091" s="3" t="s">
        <v>0</v>
      </c>
      <c r="E1091" s="2" t="str">
        <f>"0005212403"</f>
        <v>0005212403</v>
      </c>
      <c r="F1091" s="5">
        <v>41809</v>
      </c>
      <c r="G1091" s="5">
        <v>54789</v>
      </c>
      <c r="H1091" s="4" t="str">
        <f>""</f>
        <v/>
      </c>
      <c r="I1091" s="4" t="str">
        <f>""</f>
        <v/>
      </c>
    </row>
    <row r="1092" spans="1:9" x14ac:dyDescent="0.3">
      <c r="A1092" s="1" t="str">
        <f>"33"</f>
        <v>33</v>
      </c>
      <c r="B1092" s="4" t="str">
        <f>"DECONS SAS"</f>
        <v>DECONS SAS</v>
      </c>
      <c r="C1092" s="4">
        <v>402713119</v>
      </c>
      <c r="D1092" s="3" t="s">
        <v>0</v>
      </c>
      <c r="E1092" s="2" t="str">
        <f>"PR3300006B"</f>
        <v>PR3300006B</v>
      </c>
      <c r="F1092" s="5">
        <v>38849</v>
      </c>
      <c r="G1092" s="5">
        <v>54789</v>
      </c>
      <c r="H1092" s="4" t="str">
        <f>""</f>
        <v/>
      </c>
      <c r="I1092" s="4" t="str">
        <f>""</f>
        <v/>
      </c>
    </row>
    <row r="1093" spans="1:9" x14ac:dyDescent="0.3">
      <c r="A1093" s="1" t="str">
        <f>"33"</f>
        <v>33</v>
      </c>
      <c r="B1093" s="4" t="str">
        <f>"DECONS SAS"</f>
        <v>DECONS SAS</v>
      </c>
      <c r="C1093" s="4">
        <v>402713119</v>
      </c>
      <c r="D1093" s="3" t="s">
        <v>0</v>
      </c>
      <c r="E1093" s="2" t="str">
        <f>"PR3300006B"</f>
        <v>PR3300006B</v>
      </c>
      <c r="F1093" s="5">
        <v>38849</v>
      </c>
      <c r="G1093" s="5">
        <v>54789</v>
      </c>
      <c r="H1093" s="4" t="str">
        <f>""</f>
        <v/>
      </c>
      <c r="I1093" s="4" t="str">
        <f>""</f>
        <v/>
      </c>
    </row>
    <row r="1094" spans="1:9" x14ac:dyDescent="0.3">
      <c r="A1094" s="1" t="str">
        <f>"33"</f>
        <v>33</v>
      </c>
      <c r="B1094" s="4" t="str">
        <f>"SA DECONS"</f>
        <v>SA DECONS</v>
      </c>
      <c r="C1094" s="4">
        <v>402713119</v>
      </c>
      <c r="D1094" s="3" t="s">
        <v>0</v>
      </c>
      <c r="E1094" s="2" t="str">
        <f>"PR3300048D"</f>
        <v>PR3300048D</v>
      </c>
      <c r="F1094" s="5">
        <v>41809</v>
      </c>
      <c r="G1094" s="5">
        <v>54789</v>
      </c>
      <c r="H1094" s="4" t="str">
        <f>""</f>
        <v/>
      </c>
      <c r="I1094" s="4" t="str">
        <f>""</f>
        <v/>
      </c>
    </row>
    <row r="1095" spans="1:9" x14ac:dyDescent="0.3">
      <c r="A1095" s="1" t="str">
        <f>"33"</f>
        <v>33</v>
      </c>
      <c r="B1095" s="4" t="str">
        <f>"DECONS SAS"</f>
        <v>DECONS SAS</v>
      </c>
      <c r="C1095" s="4">
        <v>402713119</v>
      </c>
      <c r="D1095" s="3" t="s">
        <v>0</v>
      </c>
      <c r="E1095" s="2" t="str">
        <f>"PR3300059D"</f>
        <v>PR3300059D</v>
      </c>
      <c r="F1095" s="5">
        <v>43234</v>
      </c>
      <c r="G1095" s="5">
        <v>54789</v>
      </c>
      <c r="H1095" s="4" t="str">
        <f>""</f>
        <v/>
      </c>
      <c r="I1095" s="4" t="str">
        <f>""</f>
        <v/>
      </c>
    </row>
    <row r="1096" spans="1:9" x14ac:dyDescent="0.3">
      <c r="A1096" s="1" t="str">
        <f>"33"</f>
        <v>33</v>
      </c>
      <c r="B1096" s="4" t="str">
        <f>"SA DECONS"</f>
        <v>SA DECONS</v>
      </c>
      <c r="C1096" s="4">
        <v>402713119</v>
      </c>
      <c r="D1096" s="3" t="s">
        <v>0</v>
      </c>
      <c r="E1096" s="2" t="str">
        <f>"0005212403"</f>
        <v>0005212403</v>
      </c>
      <c r="F1096" s="5">
        <v>41809</v>
      </c>
      <c r="G1096" s="5">
        <v>54789</v>
      </c>
      <c r="H1096" s="4" t="str">
        <f>""</f>
        <v/>
      </c>
      <c r="I1096" s="4" t="str">
        <f>""</f>
        <v/>
      </c>
    </row>
    <row r="1097" spans="1:9" x14ac:dyDescent="0.3">
      <c r="A1097" s="1" t="str">
        <f>"33"</f>
        <v>33</v>
      </c>
      <c r="B1097" s="4" t="str">
        <f>"DECONS SAS"</f>
        <v>DECONS SAS</v>
      </c>
      <c r="C1097" s="4">
        <v>402713119</v>
      </c>
      <c r="D1097" s="3" t="s">
        <v>0</v>
      </c>
      <c r="E1097" s="2" t="str">
        <f>"0005201076"</f>
        <v>0005201076</v>
      </c>
      <c r="F1097" s="5">
        <v>43234</v>
      </c>
      <c r="G1097" s="5">
        <v>54789</v>
      </c>
      <c r="H1097" s="4" t="str">
        <f>""</f>
        <v/>
      </c>
      <c r="I1097" s="4" t="str">
        <f>""</f>
        <v/>
      </c>
    </row>
    <row r="1098" spans="1:9" x14ac:dyDescent="0.3">
      <c r="A1098" s="1" t="str">
        <f>"33"</f>
        <v>33</v>
      </c>
      <c r="B1098" s="4" t="str">
        <f>"SA DUBOURG AUTOMOBILES"</f>
        <v>SA DUBOURG AUTOMOBILES</v>
      </c>
      <c r="C1098" s="4">
        <v>414729624</v>
      </c>
      <c r="D1098" s="3" t="s">
        <v>0</v>
      </c>
      <c r="E1098" s="2" t="str">
        <f>"0005201116"</f>
        <v>0005201116</v>
      </c>
      <c r="F1098" s="5">
        <v>43178</v>
      </c>
      <c r="G1098" s="5">
        <v>54789</v>
      </c>
      <c r="H1098" s="4" t="str">
        <f>""</f>
        <v/>
      </c>
      <c r="I1098" s="4" t="str">
        <f>""</f>
        <v/>
      </c>
    </row>
    <row r="1099" spans="1:9" x14ac:dyDescent="0.3">
      <c r="A1099" s="1" t="str">
        <f>"33"</f>
        <v>33</v>
      </c>
      <c r="B1099" s="4" t="str">
        <f>"SA DUBOURG AUTOMOBILES"</f>
        <v>SA DUBOURG AUTOMOBILES</v>
      </c>
      <c r="C1099" s="4">
        <v>414729624</v>
      </c>
      <c r="D1099" s="3" t="s">
        <v>0</v>
      </c>
      <c r="E1099" s="2" t="str">
        <f>"0005201116"</f>
        <v>0005201116</v>
      </c>
      <c r="F1099" s="5">
        <v>43178</v>
      </c>
      <c r="G1099" s="5">
        <v>54789</v>
      </c>
      <c r="H1099" s="4" t="str">
        <f>""</f>
        <v/>
      </c>
      <c r="I1099" s="4" t="str">
        <f>""</f>
        <v/>
      </c>
    </row>
    <row r="1100" spans="1:9" x14ac:dyDescent="0.3">
      <c r="A1100" s="1" t="str">
        <f>"33"</f>
        <v>33</v>
      </c>
      <c r="B1100" s="4" t="str">
        <f>"SA DUBOURG AUTOMOBILES"</f>
        <v>SA DUBOURG AUTOMOBILES</v>
      </c>
      <c r="C1100" s="4">
        <v>414729624</v>
      </c>
      <c r="D1100" s="3" t="s">
        <v>0</v>
      </c>
      <c r="E1100" s="2" t="str">
        <f>"PR3300007D"</f>
        <v>PR3300007D</v>
      </c>
      <c r="F1100" s="5">
        <v>38842</v>
      </c>
      <c r="G1100" s="5">
        <v>54789</v>
      </c>
      <c r="H1100" s="4" t="str">
        <f>""</f>
        <v/>
      </c>
      <c r="I1100" s="4" t="str">
        <f>""</f>
        <v/>
      </c>
    </row>
    <row r="1101" spans="1:9" x14ac:dyDescent="0.3">
      <c r="A1101" s="1" t="str">
        <f>"33"</f>
        <v>33</v>
      </c>
      <c r="B1101" s="4" t="str">
        <f>"SA DUBOURG AUTOMOBILES"</f>
        <v>SA DUBOURG AUTOMOBILES</v>
      </c>
      <c r="C1101" s="4">
        <v>414729624</v>
      </c>
      <c r="D1101" s="3" t="s">
        <v>0</v>
      </c>
      <c r="E1101" s="2" t="str">
        <f>"PR3300007D"</f>
        <v>PR3300007D</v>
      </c>
      <c r="F1101" s="5">
        <v>38842</v>
      </c>
      <c r="G1101" s="5">
        <v>54789</v>
      </c>
      <c r="H1101" s="4" t="str">
        <f>""</f>
        <v/>
      </c>
      <c r="I1101" s="4" t="str">
        <f>""</f>
        <v/>
      </c>
    </row>
    <row r="1102" spans="1:9" x14ac:dyDescent="0.3">
      <c r="A1102" s="1" t="str">
        <f>"33"</f>
        <v>33</v>
      </c>
      <c r="B1102" s="4" t="str">
        <f>"SARL GIRONDE 4X4"</f>
        <v>SARL GIRONDE 4X4</v>
      </c>
      <c r="C1102" s="4">
        <v>437861552</v>
      </c>
      <c r="D1102" s="3" t="s">
        <v>0</v>
      </c>
      <c r="E1102" s="2" t="str">
        <f>"PR3300047D"</f>
        <v>PR3300047D</v>
      </c>
      <c r="F1102" s="5">
        <v>41520</v>
      </c>
      <c r="G1102" s="5">
        <v>54789</v>
      </c>
      <c r="H1102" s="4" t="str">
        <f>""</f>
        <v/>
      </c>
      <c r="I1102" s="4" t="str">
        <f>""</f>
        <v/>
      </c>
    </row>
    <row r="1103" spans="1:9" x14ac:dyDescent="0.3">
      <c r="A1103" s="1" t="str">
        <f>"33"</f>
        <v>33</v>
      </c>
      <c r="B1103" s="4" t="str">
        <f>"SARL GIRONDE 4X4"</f>
        <v>SARL GIRONDE 4X4</v>
      </c>
      <c r="C1103" s="4">
        <v>437861552</v>
      </c>
      <c r="D1103" s="3" t="s">
        <v>0</v>
      </c>
      <c r="E1103" s="2" t="str">
        <f>"0005211787"</f>
        <v>0005211787</v>
      </c>
      <c r="F1103" s="5">
        <v>43712</v>
      </c>
      <c r="G1103" s="5">
        <v>54789</v>
      </c>
      <c r="H1103" s="4" t="str">
        <f>""</f>
        <v/>
      </c>
      <c r="I1103" s="4" t="str">
        <f>""</f>
        <v/>
      </c>
    </row>
    <row r="1104" spans="1:9" x14ac:dyDescent="0.3">
      <c r="A1104" s="1" t="str">
        <f>"33"</f>
        <v>33</v>
      </c>
      <c r="B1104" s="4" t="str">
        <f>"SARL GIRONDE 4X4"</f>
        <v>SARL GIRONDE 4X4</v>
      </c>
      <c r="C1104" s="4">
        <v>437861552</v>
      </c>
      <c r="D1104" s="3" t="s">
        <v>0</v>
      </c>
      <c r="E1104" s="2" t="str">
        <f>"0005211787"</f>
        <v>0005211787</v>
      </c>
      <c r="F1104" s="5">
        <v>43712</v>
      </c>
      <c r="G1104" s="5">
        <v>54789</v>
      </c>
      <c r="H1104" s="4" t="str">
        <f>""</f>
        <v/>
      </c>
      <c r="I1104" s="4" t="str">
        <f>""</f>
        <v/>
      </c>
    </row>
    <row r="1105" spans="1:9" x14ac:dyDescent="0.3">
      <c r="A1105" s="1" t="str">
        <f>"33"</f>
        <v>33</v>
      </c>
      <c r="B1105" s="4" t="str">
        <f>"SARL GIRONDE 4X4"</f>
        <v>SARL GIRONDE 4X4</v>
      </c>
      <c r="C1105" s="4">
        <v>437861552</v>
      </c>
      <c r="D1105" s="3" t="s">
        <v>0</v>
      </c>
      <c r="E1105" s="2" t="str">
        <f>"PR3300047D"</f>
        <v>PR3300047D</v>
      </c>
      <c r="F1105" s="5">
        <v>41520</v>
      </c>
      <c r="G1105" s="5">
        <v>54789</v>
      </c>
      <c r="H1105" s="4" t="str">
        <f>""</f>
        <v/>
      </c>
      <c r="I1105" s="4" t="str">
        <f>""</f>
        <v/>
      </c>
    </row>
    <row r="1106" spans="1:9" x14ac:dyDescent="0.3">
      <c r="A1106" s="1" t="str">
        <f>"33"</f>
        <v>33</v>
      </c>
      <c r="B1106" s="4" t="str">
        <f>"SARL RECUP'AUTO"</f>
        <v>SARL RECUP'AUTO</v>
      </c>
      <c r="C1106" s="4">
        <v>438466062</v>
      </c>
      <c r="D1106" s="3" t="s">
        <v>0</v>
      </c>
      <c r="E1106" s="2" t="str">
        <f>"0005206024"</f>
        <v>0005206024</v>
      </c>
      <c r="F1106" s="5">
        <v>43399</v>
      </c>
      <c r="G1106" s="5">
        <v>54789</v>
      </c>
      <c r="H1106" s="4" t="str">
        <f>""</f>
        <v/>
      </c>
      <c r="I1106" s="4" t="str">
        <f>""</f>
        <v/>
      </c>
    </row>
    <row r="1107" spans="1:9" x14ac:dyDescent="0.3">
      <c r="A1107" s="1" t="str">
        <f>"33"</f>
        <v>33</v>
      </c>
      <c r="B1107" s="4" t="str">
        <f>"SARL RECUP'AUTO"</f>
        <v>SARL RECUP'AUTO</v>
      </c>
      <c r="C1107" s="4">
        <v>438466062</v>
      </c>
      <c r="D1107" s="3" t="s">
        <v>0</v>
      </c>
      <c r="E1107" s="2" t="str">
        <f>"0005206024"</f>
        <v>0005206024</v>
      </c>
      <c r="F1107" s="5">
        <v>43399</v>
      </c>
      <c r="G1107" s="5">
        <v>54789</v>
      </c>
      <c r="H1107" s="4" t="str">
        <f>""</f>
        <v/>
      </c>
      <c r="I1107" s="4" t="str">
        <f>""</f>
        <v/>
      </c>
    </row>
    <row r="1108" spans="1:9" x14ac:dyDescent="0.3">
      <c r="A1108" s="1" t="str">
        <f>"33"</f>
        <v>33</v>
      </c>
      <c r="B1108" s="4" t="str">
        <f>"SARL RECUP'AUTO"</f>
        <v>SARL RECUP'AUTO</v>
      </c>
      <c r="C1108" s="4">
        <v>438466062</v>
      </c>
      <c r="D1108" s="3" t="s">
        <v>0</v>
      </c>
      <c r="E1108" s="2" t="str">
        <f>"PR3300015D"</f>
        <v>PR3300015D</v>
      </c>
      <c r="F1108" s="5">
        <v>39010</v>
      </c>
      <c r="G1108" s="5">
        <v>54789</v>
      </c>
      <c r="H1108" s="4" t="str">
        <f>""</f>
        <v/>
      </c>
      <c r="I1108" s="4" t="str">
        <f>""</f>
        <v/>
      </c>
    </row>
    <row r="1109" spans="1:9" x14ac:dyDescent="0.3">
      <c r="A1109" s="1" t="str">
        <f>"33"</f>
        <v>33</v>
      </c>
      <c r="B1109" s="4" t="str">
        <f>"SARL RECUP'AUTO"</f>
        <v>SARL RECUP'AUTO</v>
      </c>
      <c r="C1109" s="4">
        <v>438466062</v>
      </c>
      <c r="D1109" s="3" t="s">
        <v>0</v>
      </c>
      <c r="E1109" s="2" t="str">
        <f>"PR3300015D"</f>
        <v>PR3300015D</v>
      </c>
      <c r="F1109" s="5">
        <v>39010</v>
      </c>
      <c r="G1109" s="5">
        <v>54789</v>
      </c>
      <c r="H1109" s="4" t="str">
        <f>""</f>
        <v/>
      </c>
      <c r="I1109" s="4" t="str">
        <f>""</f>
        <v/>
      </c>
    </row>
    <row r="1110" spans="1:9" x14ac:dyDescent="0.3">
      <c r="A1110" s="1" t="str">
        <f>"33"</f>
        <v>33</v>
      </c>
      <c r="B1110" s="4" t="str">
        <f>"SOCIETE AQUITAINE MOTO CASSE"</f>
        <v>SOCIETE AQUITAINE MOTO CASSE</v>
      </c>
      <c r="C1110" s="4">
        <v>439504689</v>
      </c>
      <c r="D1110" s="3" t="s">
        <v>0</v>
      </c>
      <c r="E1110" s="2" t="str">
        <f>"0005208037"</f>
        <v>0005208037</v>
      </c>
      <c r="F1110" s="5">
        <v>42062</v>
      </c>
      <c r="G1110" s="5">
        <v>54789</v>
      </c>
      <c r="H1110" s="4" t="str">
        <f>""</f>
        <v/>
      </c>
      <c r="I1110" s="4" t="str">
        <f>""</f>
        <v/>
      </c>
    </row>
    <row r="1111" spans="1:9" x14ac:dyDescent="0.3">
      <c r="A1111" s="1" t="str">
        <f>"33"</f>
        <v>33</v>
      </c>
      <c r="B1111" s="4" t="str">
        <f>"SOCIETE AQUITAINE MOTO CASSE"</f>
        <v>SOCIETE AQUITAINE MOTO CASSE</v>
      </c>
      <c r="C1111" s="4">
        <v>439504689</v>
      </c>
      <c r="D1111" s="3" t="s">
        <v>0</v>
      </c>
      <c r="E1111" s="2" t="str">
        <f>"PR3300050D"</f>
        <v>PR3300050D</v>
      </c>
      <c r="F1111" s="5">
        <v>42062</v>
      </c>
      <c r="G1111" s="5">
        <v>54789</v>
      </c>
      <c r="H1111" s="4" t="str">
        <f>""</f>
        <v/>
      </c>
      <c r="I1111" s="4" t="str">
        <f>""</f>
        <v/>
      </c>
    </row>
    <row r="1112" spans="1:9" x14ac:dyDescent="0.3">
      <c r="A1112" s="1" t="str">
        <f>"33"</f>
        <v>33</v>
      </c>
      <c r="B1112" s="4" t="str">
        <f>"SOCIETE AQUITAINE MOTO CASSE"</f>
        <v>SOCIETE AQUITAINE MOTO CASSE</v>
      </c>
      <c r="C1112" s="4">
        <v>439504689</v>
      </c>
      <c r="D1112" s="3" t="s">
        <v>0</v>
      </c>
      <c r="E1112" s="2" t="str">
        <f>"0005208037"</f>
        <v>0005208037</v>
      </c>
      <c r="F1112" s="5">
        <v>42062</v>
      </c>
      <c r="G1112" s="5">
        <v>54789</v>
      </c>
      <c r="H1112" s="4" t="str">
        <f>""</f>
        <v/>
      </c>
      <c r="I1112" s="4" t="str">
        <f>""</f>
        <v/>
      </c>
    </row>
    <row r="1113" spans="1:9" x14ac:dyDescent="0.3">
      <c r="A1113" s="1" t="str">
        <f>"33"</f>
        <v>33</v>
      </c>
      <c r="B1113" s="4" t="str">
        <f>"SOCIETE AQUITAINE MOTO CASSE"</f>
        <v>SOCIETE AQUITAINE MOTO CASSE</v>
      </c>
      <c r="C1113" s="4">
        <v>439504689</v>
      </c>
      <c r="D1113" s="3" t="s">
        <v>0</v>
      </c>
      <c r="E1113" s="2" t="str">
        <f>"PR3300050D"</f>
        <v>PR3300050D</v>
      </c>
      <c r="F1113" s="5">
        <v>42062</v>
      </c>
      <c r="G1113" s="5">
        <v>54789</v>
      </c>
      <c r="H1113" s="4" t="str">
        <f>""</f>
        <v/>
      </c>
      <c r="I1113" s="4" t="str">
        <f>""</f>
        <v/>
      </c>
    </row>
    <row r="1114" spans="1:9" x14ac:dyDescent="0.3">
      <c r="A1114" s="1" t="str">
        <f>"33"</f>
        <v>33</v>
      </c>
      <c r="B1114" s="4" t="str">
        <f>"SARL COUTRAS CASSE AUTOS"</f>
        <v>SARL COUTRAS CASSE AUTOS</v>
      </c>
      <c r="C1114" s="4">
        <v>443782800</v>
      </c>
      <c r="D1114" s="3" t="s">
        <v>0</v>
      </c>
      <c r="E1114" s="2" t="str">
        <f>"0005207089"</f>
        <v>0005207089</v>
      </c>
      <c r="F1114" s="5">
        <v>43383</v>
      </c>
      <c r="G1114" s="5">
        <v>54789</v>
      </c>
      <c r="H1114" s="4" t="str">
        <f>""</f>
        <v/>
      </c>
      <c r="I1114" s="4" t="str">
        <f>""</f>
        <v/>
      </c>
    </row>
    <row r="1115" spans="1:9" x14ac:dyDescent="0.3">
      <c r="A1115" s="1" t="str">
        <f>"33"</f>
        <v>33</v>
      </c>
      <c r="B1115" s="4" t="str">
        <f>"SARL COUTRAS CASSE AUTOS"</f>
        <v>SARL COUTRAS CASSE AUTOS</v>
      </c>
      <c r="C1115" s="4">
        <v>443782800</v>
      </c>
      <c r="D1115" s="3" t="s">
        <v>0</v>
      </c>
      <c r="E1115" s="2" t="str">
        <f>"0005207089"</f>
        <v>0005207089</v>
      </c>
      <c r="F1115" s="5">
        <v>43383</v>
      </c>
      <c r="G1115" s="5">
        <v>54789</v>
      </c>
      <c r="H1115" s="4" t="str">
        <f>""</f>
        <v/>
      </c>
      <c r="I1115" s="4" t="str">
        <f>""</f>
        <v/>
      </c>
    </row>
    <row r="1116" spans="1:9" x14ac:dyDescent="0.3">
      <c r="A1116" s="1" t="str">
        <f>"33"</f>
        <v>33</v>
      </c>
      <c r="B1116" s="4" t="str">
        <f>"SARL COUTRAS CASSE AUTOS"</f>
        <v>SARL COUTRAS CASSE AUTOS</v>
      </c>
      <c r="C1116" s="4">
        <v>443782800</v>
      </c>
      <c r="D1116" s="3" t="s">
        <v>0</v>
      </c>
      <c r="E1116" s="2" t="str">
        <f>"PR3300013D"</f>
        <v>PR3300013D</v>
      </c>
      <c r="F1116" s="5">
        <v>43383</v>
      </c>
      <c r="G1116" s="5">
        <v>54789</v>
      </c>
      <c r="H1116" s="4" t="str">
        <f>""</f>
        <v/>
      </c>
      <c r="I1116" s="4" t="str">
        <f>""</f>
        <v/>
      </c>
    </row>
    <row r="1117" spans="1:9" x14ac:dyDescent="0.3">
      <c r="A1117" s="1" t="str">
        <f>"33"</f>
        <v>33</v>
      </c>
      <c r="B1117" s="4" t="str">
        <f>"SARL COUTRAS CASSE AUTOS"</f>
        <v>SARL COUTRAS CASSE AUTOS</v>
      </c>
      <c r="C1117" s="4">
        <v>443782800</v>
      </c>
      <c r="D1117" s="3" t="s">
        <v>0</v>
      </c>
      <c r="E1117" s="2" t="str">
        <f>"PR3300013D"</f>
        <v>PR3300013D</v>
      </c>
      <c r="F1117" s="5">
        <v>43383</v>
      </c>
      <c r="G1117" s="5">
        <v>54789</v>
      </c>
      <c r="H1117" s="4" t="str">
        <f>""</f>
        <v/>
      </c>
      <c r="I1117" s="4" t="str">
        <f>""</f>
        <v/>
      </c>
    </row>
    <row r="1118" spans="1:9" x14ac:dyDescent="0.3">
      <c r="A1118" s="1" t="str">
        <f>"33"</f>
        <v>33</v>
      </c>
      <c r="B1118" s="4" t="str">
        <f>"SOCIETE MENART ET FILS"</f>
        <v>SOCIETE MENART ET FILS</v>
      </c>
      <c r="C1118" s="4">
        <v>444856694</v>
      </c>
      <c r="D1118" s="3" t="s">
        <v>0</v>
      </c>
      <c r="E1118" s="2" t="str">
        <f>"PR3300057D"</f>
        <v>PR3300057D</v>
      </c>
      <c r="F1118" s="5">
        <v>43070</v>
      </c>
      <c r="G1118" s="5">
        <v>54789</v>
      </c>
      <c r="H1118" s="4" t="str">
        <f>""</f>
        <v/>
      </c>
      <c r="I1118" s="4" t="str">
        <f>""</f>
        <v/>
      </c>
    </row>
    <row r="1119" spans="1:9" x14ac:dyDescent="0.3">
      <c r="A1119" s="1" t="str">
        <f>"33"</f>
        <v>33</v>
      </c>
      <c r="B1119" s="4" t="str">
        <f>"SOCIETE MENART ET FILS"</f>
        <v>SOCIETE MENART ET FILS</v>
      </c>
      <c r="C1119" s="4">
        <v>444856694</v>
      </c>
      <c r="D1119" s="3" t="s">
        <v>0</v>
      </c>
      <c r="E1119" s="2" t="str">
        <f>"0005208110"</f>
        <v>0005208110</v>
      </c>
      <c r="F1119" s="5">
        <v>43070</v>
      </c>
      <c r="G1119" s="5">
        <v>54789</v>
      </c>
      <c r="H1119" s="4" t="str">
        <f>""</f>
        <v/>
      </c>
      <c r="I1119" s="4" t="str">
        <f>""</f>
        <v/>
      </c>
    </row>
    <row r="1120" spans="1:9" x14ac:dyDescent="0.3">
      <c r="A1120" s="1" t="str">
        <f>"33"</f>
        <v>33</v>
      </c>
      <c r="B1120" s="4" t="str">
        <f>"SOCIETE MENART ET FILS"</f>
        <v>SOCIETE MENART ET FILS</v>
      </c>
      <c r="C1120" s="4">
        <v>444856694</v>
      </c>
      <c r="D1120" s="3" t="s">
        <v>0</v>
      </c>
      <c r="E1120" s="2" t="str">
        <f>"0005208110"</f>
        <v>0005208110</v>
      </c>
      <c r="F1120" s="5">
        <v>43070</v>
      </c>
      <c r="G1120" s="5">
        <v>54789</v>
      </c>
      <c r="H1120" s="4" t="str">
        <f>""</f>
        <v/>
      </c>
      <c r="I1120" s="4" t="str">
        <f>""</f>
        <v/>
      </c>
    </row>
    <row r="1121" spans="1:9" x14ac:dyDescent="0.3">
      <c r="A1121" s="1" t="str">
        <f>"33"</f>
        <v>33</v>
      </c>
      <c r="B1121" s="4" t="str">
        <f>"SOCIETE MENART ET FILS"</f>
        <v>SOCIETE MENART ET FILS</v>
      </c>
      <c r="C1121" s="4">
        <v>444856694</v>
      </c>
      <c r="D1121" s="3" t="s">
        <v>0</v>
      </c>
      <c r="E1121" s="2" t="str">
        <f>"PR3300057D"</f>
        <v>PR3300057D</v>
      </c>
      <c r="F1121" s="5">
        <v>43070</v>
      </c>
      <c r="G1121" s="5">
        <v>54789</v>
      </c>
      <c r="H1121" s="4" t="str">
        <f>""</f>
        <v/>
      </c>
      <c r="I1121" s="4" t="str">
        <f>""</f>
        <v/>
      </c>
    </row>
    <row r="1122" spans="1:9" x14ac:dyDescent="0.3">
      <c r="A1122" s="1" t="str">
        <f>"33"</f>
        <v>33</v>
      </c>
      <c r="B1122" s="4" t="str">
        <f>"SARL AUTO PIECES DU BASSIN"</f>
        <v>SARL AUTO PIECES DU BASSIN</v>
      </c>
      <c r="C1122" s="4">
        <v>445362188</v>
      </c>
      <c r="D1122" s="3" t="s">
        <v>0</v>
      </c>
      <c r="E1122" s="2" t="str">
        <f>"0005206862"</f>
        <v>0005206862</v>
      </c>
      <c r="F1122" s="5">
        <v>43570</v>
      </c>
      <c r="G1122" s="5">
        <v>54789</v>
      </c>
      <c r="H1122" s="4" t="str">
        <f>""</f>
        <v/>
      </c>
      <c r="I1122" s="4" t="str">
        <f>""</f>
        <v/>
      </c>
    </row>
    <row r="1123" spans="1:9" x14ac:dyDescent="0.3">
      <c r="A1123" s="1" t="str">
        <f>"33"</f>
        <v>33</v>
      </c>
      <c r="B1123" s="4" t="str">
        <f>"SARL AUTO PIECES DU BASSIN"</f>
        <v>SARL AUTO PIECES DU BASSIN</v>
      </c>
      <c r="C1123" s="4">
        <v>445362188</v>
      </c>
      <c r="D1123" s="3" t="s">
        <v>0</v>
      </c>
      <c r="E1123" s="2" t="str">
        <f>"0005206862"</f>
        <v>0005206862</v>
      </c>
      <c r="F1123" s="5">
        <v>43570</v>
      </c>
      <c r="G1123" s="5">
        <v>54789</v>
      </c>
      <c r="H1123" s="4" t="str">
        <f>""</f>
        <v/>
      </c>
      <c r="I1123" s="4" t="str">
        <f>""</f>
        <v/>
      </c>
    </row>
    <row r="1124" spans="1:9" x14ac:dyDescent="0.3">
      <c r="A1124" s="1" t="str">
        <f>"33"</f>
        <v>33</v>
      </c>
      <c r="B1124" s="4" t="str">
        <f>"SARL AUTO PIECES DU BASSIN"</f>
        <v>SARL AUTO PIECES DU BASSIN</v>
      </c>
      <c r="C1124" s="4">
        <v>445362188</v>
      </c>
      <c r="D1124" s="3" t="s">
        <v>0</v>
      </c>
      <c r="E1124" s="2" t="str">
        <f>"PR3300014D"</f>
        <v>PR3300014D</v>
      </c>
      <c r="F1124" s="5">
        <v>41380</v>
      </c>
      <c r="G1124" s="5">
        <v>54789</v>
      </c>
      <c r="H1124" s="4" t="str">
        <f>""</f>
        <v/>
      </c>
      <c r="I1124" s="4" t="str">
        <f>""</f>
        <v/>
      </c>
    </row>
    <row r="1125" spans="1:9" x14ac:dyDescent="0.3">
      <c r="A1125" s="1" t="str">
        <f>"33"</f>
        <v>33</v>
      </c>
      <c r="B1125" s="4" t="str">
        <f>"SARL AUTO PIECES DU BASSIN"</f>
        <v>SARL AUTO PIECES DU BASSIN</v>
      </c>
      <c r="C1125" s="4">
        <v>445362188</v>
      </c>
      <c r="D1125" s="3" t="s">
        <v>0</v>
      </c>
      <c r="E1125" s="2" t="str">
        <f>"PR3300014D"</f>
        <v>PR3300014D</v>
      </c>
      <c r="F1125" s="5">
        <v>41380</v>
      </c>
      <c r="G1125" s="5">
        <v>54789</v>
      </c>
      <c r="H1125" s="4" t="str">
        <f>""</f>
        <v/>
      </c>
      <c r="I1125" s="4" t="str">
        <f>""</f>
        <v/>
      </c>
    </row>
    <row r="1126" spans="1:9" x14ac:dyDescent="0.3">
      <c r="A1126" s="1" t="str">
        <f>"33"</f>
        <v>33</v>
      </c>
      <c r="B1126" s="4" t="str">
        <f>"SARL SENDETS INDUSTRIE"</f>
        <v>SARL SENDETS INDUSTRIE</v>
      </c>
      <c r="C1126" s="4">
        <v>452644529</v>
      </c>
      <c r="D1126" s="3" t="s">
        <v>0</v>
      </c>
      <c r="E1126" s="2" t="str">
        <f>"0005208074"</f>
        <v>0005208074</v>
      </c>
      <c r="F1126" s="5">
        <v>43598</v>
      </c>
      <c r="G1126" s="5">
        <v>54789</v>
      </c>
      <c r="H1126" s="4" t="str">
        <f>""</f>
        <v/>
      </c>
      <c r="I1126" s="4" t="str">
        <f>""</f>
        <v/>
      </c>
    </row>
    <row r="1127" spans="1:9" x14ac:dyDescent="0.3">
      <c r="A1127" s="1" t="str">
        <f>"33"</f>
        <v>33</v>
      </c>
      <c r="B1127" s="4" t="str">
        <f>"SARL SENDETS INDUSTRIE"</f>
        <v>SARL SENDETS INDUSTRIE</v>
      </c>
      <c r="C1127" s="4">
        <v>452644529</v>
      </c>
      <c r="D1127" s="3" t="s">
        <v>0</v>
      </c>
      <c r="E1127" s="2" t="str">
        <f>"PR3300022D"</f>
        <v>PR3300022D</v>
      </c>
      <c r="F1127" s="5">
        <v>43598</v>
      </c>
      <c r="G1127" s="5">
        <v>54789</v>
      </c>
      <c r="H1127" s="4" t="str">
        <f>""</f>
        <v/>
      </c>
      <c r="I1127" s="4" t="str">
        <f>""</f>
        <v/>
      </c>
    </row>
    <row r="1128" spans="1:9" x14ac:dyDescent="0.3">
      <c r="A1128" s="1" t="str">
        <f>"33"</f>
        <v>33</v>
      </c>
      <c r="B1128" s="4" t="str">
        <f>"SARL SENDETS INDUSTRIE"</f>
        <v>SARL SENDETS INDUSTRIE</v>
      </c>
      <c r="C1128" s="4">
        <v>452644529</v>
      </c>
      <c r="D1128" s="3" t="s">
        <v>0</v>
      </c>
      <c r="E1128" s="2" t="str">
        <f>"0005208074"</f>
        <v>0005208074</v>
      </c>
      <c r="F1128" s="5">
        <v>43598</v>
      </c>
      <c r="G1128" s="5">
        <v>54789</v>
      </c>
      <c r="H1128" s="4" t="str">
        <f>""</f>
        <v/>
      </c>
      <c r="I1128" s="4" t="str">
        <f>""</f>
        <v/>
      </c>
    </row>
    <row r="1129" spans="1:9" x14ac:dyDescent="0.3">
      <c r="A1129" s="1" t="str">
        <f>"33"</f>
        <v>33</v>
      </c>
      <c r="B1129" s="4" t="str">
        <f>"SARL SENDETS INDUSTRIE"</f>
        <v>SARL SENDETS INDUSTRIE</v>
      </c>
      <c r="C1129" s="4">
        <v>452644529</v>
      </c>
      <c r="D1129" s="3" t="s">
        <v>0</v>
      </c>
      <c r="E1129" s="2" t="str">
        <f>"PR3300022D"</f>
        <v>PR3300022D</v>
      </c>
      <c r="F1129" s="5">
        <v>43598</v>
      </c>
      <c r="G1129" s="5">
        <v>54789</v>
      </c>
      <c r="H1129" s="4" t="str">
        <f>""</f>
        <v/>
      </c>
      <c r="I1129" s="4" t="str">
        <f>""</f>
        <v/>
      </c>
    </row>
    <row r="1130" spans="1:9" x14ac:dyDescent="0.3">
      <c r="A1130" s="1" t="str">
        <f>"33"</f>
        <v>33</v>
      </c>
      <c r="B1130" s="4" t="str">
        <f>"SOCIETE AUTO VOL 33"</f>
        <v>SOCIETE AUTO VOL 33</v>
      </c>
      <c r="C1130" s="4">
        <v>480244460</v>
      </c>
      <c r="D1130" s="3" t="s">
        <v>0</v>
      </c>
      <c r="E1130" s="2" t="str">
        <f>"PR3300052B"</f>
        <v>PR3300052B</v>
      </c>
      <c r="F1130" s="5">
        <v>42676</v>
      </c>
      <c r="G1130" s="5">
        <v>54789</v>
      </c>
      <c r="H1130" s="4" t="str">
        <f>""</f>
        <v/>
      </c>
      <c r="I1130" s="4" t="str">
        <f>""</f>
        <v/>
      </c>
    </row>
    <row r="1131" spans="1:9" x14ac:dyDescent="0.3">
      <c r="A1131" s="1" t="str">
        <f>"33"</f>
        <v>33</v>
      </c>
      <c r="B1131" s="4" t="str">
        <f>"SOCIETE AUTO VOL 33"</f>
        <v>SOCIETE AUTO VOL 33</v>
      </c>
      <c r="C1131" s="4">
        <v>480244460</v>
      </c>
      <c r="D1131" s="3" t="s">
        <v>0</v>
      </c>
      <c r="E1131" s="2" t="str">
        <f>"PR3300052B"</f>
        <v>PR3300052B</v>
      </c>
      <c r="F1131" s="5">
        <v>42676</v>
      </c>
      <c r="G1131" s="5">
        <v>54789</v>
      </c>
      <c r="H1131" s="4" t="str">
        <f>""</f>
        <v/>
      </c>
      <c r="I1131" s="4" t="str">
        <f>""</f>
        <v/>
      </c>
    </row>
    <row r="1132" spans="1:9" x14ac:dyDescent="0.3">
      <c r="A1132" s="1" t="str">
        <f>"33"</f>
        <v>33</v>
      </c>
      <c r="B1132" s="4" t="str">
        <f>"SARL PROUST AUTOMOBILE"</f>
        <v>SARL PROUST AUTOMOBILE</v>
      </c>
      <c r="C1132" s="4">
        <v>500644422</v>
      </c>
      <c r="D1132" s="3" t="s">
        <v>0</v>
      </c>
      <c r="E1132" s="2" t="str">
        <f>"0005204831"</f>
        <v>0005204831</v>
      </c>
      <c r="F1132" s="5">
        <v>43239</v>
      </c>
      <c r="G1132" s="5">
        <v>54789</v>
      </c>
      <c r="H1132" s="4" t="str">
        <f>""</f>
        <v/>
      </c>
      <c r="I1132" s="4" t="str">
        <f>""</f>
        <v/>
      </c>
    </row>
    <row r="1133" spans="1:9" x14ac:dyDescent="0.3">
      <c r="A1133" s="1" t="str">
        <f>"33"</f>
        <v>33</v>
      </c>
      <c r="B1133" s="4" t="str">
        <f>"SARL PROUST AUTOMOBILE"</f>
        <v>SARL PROUST AUTOMOBILE</v>
      </c>
      <c r="C1133" s="4">
        <v>500644422</v>
      </c>
      <c r="D1133" s="3" t="s">
        <v>0</v>
      </c>
      <c r="E1133" s="2" t="str">
        <f>"PR3300008D"</f>
        <v>PR3300008D</v>
      </c>
      <c r="F1133" s="5">
        <v>38854</v>
      </c>
      <c r="G1133" s="5">
        <v>54789</v>
      </c>
      <c r="H1133" s="4" t="str">
        <f>""</f>
        <v/>
      </c>
      <c r="I1133" s="4" t="str">
        <f>""</f>
        <v/>
      </c>
    </row>
    <row r="1134" spans="1:9" x14ac:dyDescent="0.3">
      <c r="A1134" s="1" t="str">
        <f>"33"</f>
        <v>33</v>
      </c>
      <c r="B1134" s="4" t="str">
        <f>"SARL PROUST AUTOMOBILE"</f>
        <v>SARL PROUST AUTOMOBILE</v>
      </c>
      <c r="C1134" s="4">
        <v>500644422</v>
      </c>
      <c r="D1134" s="3" t="s">
        <v>0</v>
      </c>
      <c r="E1134" s="2" t="str">
        <f>"PR3300008D"</f>
        <v>PR3300008D</v>
      </c>
      <c r="F1134" s="5">
        <v>38854</v>
      </c>
      <c r="G1134" s="5">
        <v>54789</v>
      </c>
      <c r="H1134" s="4" t="str">
        <f>""</f>
        <v/>
      </c>
      <c r="I1134" s="4" t="str">
        <f>""</f>
        <v/>
      </c>
    </row>
    <row r="1135" spans="1:9" x14ac:dyDescent="0.3">
      <c r="A1135" s="1" t="str">
        <f>"33"</f>
        <v>33</v>
      </c>
      <c r="B1135" s="4" t="str">
        <f>"SARL PROUST AUTOMOBILE"</f>
        <v>SARL PROUST AUTOMOBILE</v>
      </c>
      <c r="C1135" s="4">
        <v>500644422</v>
      </c>
      <c r="D1135" s="3" t="s">
        <v>0</v>
      </c>
      <c r="E1135" s="2" t="str">
        <f>"0005204831"</f>
        <v>0005204831</v>
      </c>
      <c r="F1135" s="5">
        <v>43239</v>
      </c>
      <c r="G1135" s="5">
        <v>54789</v>
      </c>
      <c r="H1135" s="4" t="str">
        <f>""</f>
        <v/>
      </c>
      <c r="I1135" s="4" t="str">
        <f>""</f>
        <v/>
      </c>
    </row>
    <row r="1136" spans="1:9" x14ac:dyDescent="0.3">
      <c r="A1136" s="1" t="str">
        <f>"33"</f>
        <v>33</v>
      </c>
      <c r="B1136" s="4" t="str">
        <f>"BMZ AUTOCASSE"</f>
        <v>BMZ AUTOCASSE</v>
      </c>
      <c r="C1136" s="4">
        <v>500678677</v>
      </c>
      <c r="D1136" s="3" t="s">
        <v>0</v>
      </c>
      <c r="E1136" s="2" t="str">
        <f>"PR3300041D"</f>
        <v>PR3300041D</v>
      </c>
      <c r="F1136" s="5">
        <v>43600</v>
      </c>
      <c r="G1136" s="5">
        <v>54789</v>
      </c>
      <c r="H1136" s="4" t="str">
        <f>""</f>
        <v/>
      </c>
      <c r="I1136" s="4" t="str">
        <f>""</f>
        <v/>
      </c>
    </row>
    <row r="1137" spans="1:9" x14ac:dyDescent="0.3">
      <c r="A1137" s="1" t="str">
        <f>"33"</f>
        <v>33</v>
      </c>
      <c r="B1137" s="4" t="str">
        <f>"BMZ AUTOCASSE"</f>
        <v>BMZ AUTOCASSE</v>
      </c>
      <c r="C1137" s="4">
        <v>500678677</v>
      </c>
      <c r="D1137" s="3" t="s">
        <v>0</v>
      </c>
      <c r="E1137" s="2" t="str">
        <f>"0005207820"</f>
        <v>0005207820</v>
      </c>
      <c r="F1137" s="5">
        <v>43600</v>
      </c>
      <c r="G1137" s="5">
        <v>54789</v>
      </c>
      <c r="H1137" s="4" t="str">
        <f>""</f>
        <v/>
      </c>
      <c r="I1137" s="4" t="str">
        <f>""</f>
        <v/>
      </c>
    </row>
    <row r="1138" spans="1:9" x14ac:dyDescent="0.3">
      <c r="A1138" s="1" t="str">
        <f>"33"</f>
        <v>33</v>
      </c>
      <c r="B1138" s="4" t="str">
        <f>"BMZ AUTOCASSE"</f>
        <v>BMZ AUTOCASSE</v>
      </c>
      <c r="C1138" s="4">
        <v>500678677</v>
      </c>
      <c r="D1138" s="3" t="s">
        <v>0</v>
      </c>
      <c r="E1138" s="2" t="str">
        <f>"PR3300041D"</f>
        <v>PR3300041D</v>
      </c>
      <c r="F1138" s="5">
        <v>43600</v>
      </c>
      <c r="G1138" s="5">
        <v>54789</v>
      </c>
      <c r="H1138" s="4" t="str">
        <f>""</f>
        <v/>
      </c>
      <c r="I1138" s="4" t="str">
        <f>""</f>
        <v/>
      </c>
    </row>
    <row r="1139" spans="1:9" x14ac:dyDescent="0.3">
      <c r="A1139" s="1" t="str">
        <f>"33"</f>
        <v>33</v>
      </c>
      <c r="B1139" s="4" t="str">
        <f>"EURL SALANOVA"</f>
        <v>EURL SALANOVA</v>
      </c>
      <c r="C1139" s="4">
        <v>503872731</v>
      </c>
      <c r="D1139" s="3" t="s">
        <v>0</v>
      </c>
      <c r="E1139" s="2" t="str">
        <f>"0005201318"</f>
        <v>0005201318</v>
      </c>
      <c r="F1139" s="5">
        <v>43454</v>
      </c>
      <c r="G1139" s="5">
        <v>54789</v>
      </c>
      <c r="H1139" s="4" t="str">
        <f>""</f>
        <v/>
      </c>
      <c r="I1139" s="4" t="str">
        <f>""</f>
        <v/>
      </c>
    </row>
    <row r="1140" spans="1:9" x14ac:dyDescent="0.3">
      <c r="A1140" s="1" t="str">
        <f>"33"</f>
        <v>33</v>
      </c>
      <c r="B1140" s="4" t="str">
        <f>"EURL SALANOVA"</f>
        <v>EURL SALANOVA</v>
      </c>
      <c r="C1140" s="4">
        <v>503872731</v>
      </c>
      <c r="D1140" s="3" t="s">
        <v>0</v>
      </c>
      <c r="E1140" s="2" t="str">
        <f>"PR3300038D"</f>
        <v>PR3300038D</v>
      </c>
      <c r="F1140" s="5">
        <v>43454</v>
      </c>
      <c r="G1140" s="5">
        <v>54789</v>
      </c>
      <c r="H1140" s="4" t="str">
        <f>""</f>
        <v/>
      </c>
      <c r="I1140" s="4" t="str">
        <f>""</f>
        <v/>
      </c>
    </row>
    <row r="1141" spans="1:9" x14ac:dyDescent="0.3">
      <c r="A1141" s="1" t="str">
        <f>"33"</f>
        <v>33</v>
      </c>
      <c r="B1141" s="4" t="str">
        <f>"EURL SALANOVA"</f>
        <v>EURL SALANOVA</v>
      </c>
      <c r="C1141" s="4">
        <v>503872731</v>
      </c>
      <c r="D1141" s="3" t="s">
        <v>0</v>
      </c>
      <c r="E1141" s="2" t="str">
        <f>"PR3300038D"</f>
        <v>PR3300038D</v>
      </c>
      <c r="F1141" s="5">
        <v>43454</v>
      </c>
      <c r="G1141" s="5">
        <v>54789</v>
      </c>
      <c r="H1141" s="4" t="str">
        <f>""</f>
        <v/>
      </c>
      <c r="I1141" s="4" t="str">
        <f>""</f>
        <v/>
      </c>
    </row>
    <row r="1142" spans="1:9" x14ac:dyDescent="0.3">
      <c r="A1142" s="1" t="str">
        <f>"33"</f>
        <v>33</v>
      </c>
      <c r="B1142" s="4" t="str">
        <f>"EURL SALANOVA"</f>
        <v>EURL SALANOVA</v>
      </c>
      <c r="C1142" s="4">
        <v>503872731</v>
      </c>
      <c r="D1142" s="3" t="s">
        <v>0</v>
      </c>
      <c r="E1142" s="2" t="str">
        <f>"0005201318"</f>
        <v>0005201318</v>
      </c>
      <c r="F1142" s="5">
        <v>43454</v>
      </c>
      <c r="G1142" s="5">
        <v>54789</v>
      </c>
      <c r="H1142" s="4" t="str">
        <f>""</f>
        <v/>
      </c>
      <c r="I1142" s="4" t="str">
        <f>""</f>
        <v/>
      </c>
    </row>
    <row r="1143" spans="1:9" x14ac:dyDescent="0.3">
      <c r="A1143" s="1" t="str">
        <f>"33"</f>
        <v>33</v>
      </c>
      <c r="B1143" s="4" t="str">
        <f>"GUY DAUPHIN ENVIRONNEMENT"</f>
        <v>GUY DAUPHIN ENVIRONNEMENT</v>
      </c>
      <c r="C1143" s="4">
        <v>653820530</v>
      </c>
      <c r="D1143" s="3" t="s">
        <v>0</v>
      </c>
      <c r="E1143" s="2" t="str">
        <f>"PR3300044D"</f>
        <v>PR3300044D</v>
      </c>
      <c r="F1143" s="5">
        <v>40533</v>
      </c>
      <c r="G1143" s="5">
        <v>54789</v>
      </c>
      <c r="H1143" s="4" t="str">
        <f>""</f>
        <v/>
      </c>
      <c r="I1143" s="4" t="str">
        <f>""</f>
        <v/>
      </c>
    </row>
    <row r="1144" spans="1:9" x14ac:dyDescent="0.3">
      <c r="A1144" s="1" t="str">
        <f>"33"</f>
        <v>33</v>
      </c>
      <c r="B1144" s="4" t="str">
        <f>"GUY DAUPHIN ENVIRONNEMENT"</f>
        <v>GUY DAUPHIN ENVIRONNEMENT</v>
      </c>
      <c r="C1144" s="4">
        <v>653820530</v>
      </c>
      <c r="D1144" s="3" t="s">
        <v>0</v>
      </c>
      <c r="E1144" s="2" t="str">
        <f>"0005205088"</f>
        <v>0005205088</v>
      </c>
      <c r="F1144" s="5">
        <v>42678</v>
      </c>
      <c r="G1144" s="5">
        <v>54789</v>
      </c>
      <c r="H1144" s="4" t="str">
        <f>""</f>
        <v/>
      </c>
      <c r="I1144" s="4" t="str">
        <f>""</f>
        <v/>
      </c>
    </row>
    <row r="1145" spans="1:9" x14ac:dyDescent="0.3">
      <c r="A1145" s="1" t="str">
        <f>"33"</f>
        <v>33</v>
      </c>
      <c r="B1145" s="4" t="str">
        <f>"GUY DAUPHIN ENVIRONNEMENT"</f>
        <v>GUY DAUPHIN ENVIRONNEMENT</v>
      </c>
      <c r="C1145" s="4">
        <v>653820530</v>
      </c>
      <c r="D1145" s="3" t="s">
        <v>0</v>
      </c>
      <c r="E1145" s="2" t="str">
        <f>"0005205088"</f>
        <v>0005205088</v>
      </c>
      <c r="F1145" s="5">
        <v>42678</v>
      </c>
      <c r="G1145" s="5">
        <v>54789</v>
      </c>
      <c r="H1145" s="4" t="str">
        <f>""</f>
        <v/>
      </c>
      <c r="I1145" s="4" t="str">
        <f>""</f>
        <v/>
      </c>
    </row>
    <row r="1146" spans="1:9" x14ac:dyDescent="0.3">
      <c r="A1146" s="1" t="str">
        <f>"33"</f>
        <v>33</v>
      </c>
      <c r="B1146" s="4" t="str">
        <f>"GUY DAUPHIN ENVIRONNEMENT"</f>
        <v>GUY DAUPHIN ENVIRONNEMENT</v>
      </c>
      <c r="C1146" s="4">
        <v>653820530</v>
      </c>
      <c r="D1146" s="3" t="s">
        <v>0</v>
      </c>
      <c r="E1146" s="2" t="str">
        <f>"PR3300044D"</f>
        <v>PR3300044D</v>
      </c>
      <c r="F1146" s="5">
        <v>40533</v>
      </c>
      <c r="G1146" s="5">
        <v>54789</v>
      </c>
      <c r="H1146" s="4" t="str">
        <f>""</f>
        <v/>
      </c>
      <c r="I1146" s="4" t="str">
        <f>""</f>
        <v/>
      </c>
    </row>
    <row r="1147" spans="1:9" x14ac:dyDescent="0.3">
      <c r="A1147" s="1" t="str">
        <f>"33"</f>
        <v>33</v>
      </c>
      <c r="B1147" s="4" t="str">
        <f>"DECONS AQUITAINE SAS"</f>
        <v>DECONS AQUITAINE SAS</v>
      </c>
      <c r="C1147" s="4">
        <v>832222467</v>
      </c>
      <c r="D1147" s="3" t="s">
        <v>0</v>
      </c>
      <c r="E1147" s="2" t="str">
        <f>"PR3300061D"</f>
        <v>PR3300061D</v>
      </c>
      <c r="F1147" s="5">
        <v>43634</v>
      </c>
      <c r="G1147" s="5">
        <v>54789</v>
      </c>
      <c r="H1147" s="4" t="str">
        <f>""</f>
        <v/>
      </c>
      <c r="I1147" s="4" t="str">
        <f>""</f>
        <v/>
      </c>
    </row>
    <row r="1148" spans="1:9" x14ac:dyDescent="0.3">
      <c r="A1148" s="1" t="str">
        <f>"33"</f>
        <v>33</v>
      </c>
      <c r="B1148" s="4" t="str">
        <f>"DECONS AQUITAINE SAS"</f>
        <v>DECONS AQUITAINE SAS</v>
      </c>
      <c r="C1148" s="4">
        <v>832222467</v>
      </c>
      <c r="D1148" s="3" t="s">
        <v>0</v>
      </c>
      <c r="E1148" s="2" t="str">
        <f>"PR3300062D"</f>
        <v>PR3300062D</v>
      </c>
      <c r="F1148" s="5">
        <v>43752</v>
      </c>
      <c r="G1148" s="5">
        <v>54789</v>
      </c>
      <c r="H1148" s="4" t="str">
        <f>""</f>
        <v/>
      </c>
      <c r="I1148" s="4" t="str">
        <f>""</f>
        <v/>
      </c>
    </row>
    <row r="1149" spans="1:9" x14ac:dyDescent="0.3">
      <c r="A1149" s="1" t="str">
        <f>"33"</f>
        <v>33</v>
      </c>
      <c r="B1149" s="4" t="str">
        <f>"DECONS AQUITAINE"</f>
        <v>DECONS AQUITAINE</v>
      </c>
      <c r="C1149" s="4">
        <v>832222467</v>
      </c>
      <c r="D1149" s="3" t="s">
        <v>0</v>
      </c>
      <c r="E1149" s="2" t="str">
        <f>"PR3300064D"</f>
        <v>PR3300064D</v>
      </c>
      <c r="F1149" s="5">
        <v>44965</v>
      </c>
      <c r="G1149" s="5">
        <v>54789</v>
      </c>
      <c r="H1149" s="4" t="str">
        <f>""</f>
        <v/>
      </c>
      <c r="I1149" s="4" t="str">
        <f>""</f>
        <v/>
      </c>
    </row>
    <row r="1150" spans="1:9" x14ac:dyDescent="0.3">
      <c r="A1150" s="1" t="str">
        <f>"33"</f>
        <v>33</v>
      </c>
      <c r="B1150" s="4" t="str">
        <f>"BMZ AUTOCASSE"</f>
        <v>BMZ AUTOCASSE</v>
      </c>
      <c r="C1150" s="4">
        <v>832222467</v>
      </c>
      <c r="D1150" s="3" t="s">
        <v>0</v>
      </c>
      <c r="E1150" s="2" t="str">
        <f>"0005207820"</f>
        <v>0005207820</v>
      </c>
      <c r="F1150" s="5">
        <v>43600</v>
      </c>
      <c r="G1150" s="5">
        <v>54789</v>
      </c>
      <c r="H1150" s="4" t="str">
        <f>""</f>
        <v/>
      </c>
      <c r="I1150" s="4" t="str">
        <f>""</f>
        <v/>
      </c>
    </row>
    <row r="1151" spans="1:9" x14ac:dyDescent="0.3">
      <c r="A1151" s="1" t="str">
        <f>"33"</f>
        <v>33</v>
      </c>
      <c r="B1151" s="4" t="str">
        <f>"DECONS SA"</f>
        <v>DECONS SA</v>
      </c>
      <c r="C1151" s="4">
        <v>832222467</v>
      </c>
      <c r="D1151" s="3" t="s">
        <v>0</v>
      </c>
      <c r="E1151" s="2" t="str">
        <f>"0005200601"</f>
        <v>0005200601</v>
      </c>
      <c r="F1151" s="5">
        <v>43585</v>
      </c>
      <c r="G1151" s="5">
        <v>54789</v>
      </c>
      <c r="H1151" s="4" t="str">
        <f>""</f>
        <v/>
      </c>
      <c r="I1151" s="4" t="str">
        <f>""</f>
        <v/>
      </c>
    </row>
    <row r="1152" spans="1:9" x14ac:dyDescent="0.3">
      <c r="A1152" s="1" t="str">
        <f>"33"</f>
        <v>33</v>
      </c>
      <c r="B1152" s="4" t="str">
        <f>"DECONS SA"</f>
        <v>DECONS SA</v>
      </c>
      <c r="C1152" s="4">
        <v>832222467</v>
      </c>
      <c r="D1152" s="3" t="s">
        <v>0</v>
      </c>
      <c r="E1152" s="2" t="str">
        <f>"PR3300020D"</f>
        <v>PR3300020D</v>
      </c>
      <c r="F1152" s="5">
        <v>43585</v>
      </c>
      <c r="G1152" s="5">
        <v>54789</v>
      </c>
      <c r="H1152" s="4" t="str">
        <f>""</f>
        <v/>
      </c>
      <c r="I1152" s="4" t="str">
        <f>""</f>
        <v/>
      </c>
    </row>
    <row r="1153" spans="1:9" x14ac:dyDescent="0.3">
      <c r="A1153" s="1" t="str">
        <f>"33"</f>
        <v>33</v>
      </c>
      <c r="B1153" s="4" t="str">
        <f>"DECONS SA"</f>
        <v>DECONS SA</v>
      </c>
      <c r="C1153" s="4">
        <v>832222467</v>
      </c>
      <c r="D1153" s="3" t="s">
        <v>0</v>
      </c>
      <c r="E1153" s="2" t="str">
        <f>"PR3300020D"</f>
        <v>PR3300020D</v>
      </c>
      <c r="F1153" s="5">
        <v>43585</v>
      </c>
      <c r="G1153" s="5">
        <v>54789</v>
      </c>
      <c r="H1153" s="4" t="str">
        <f>""</f>
        <v/>
      </c>
      <c r="I1153" s="4" t="str">
        <f>""</f>
        <v/>
      </c>
    </row>
    <row r="1154" spans="1:9" x14ac:dyDescent="0.3">
      <c r="A1154" s="1" t="str">
        <f>"33"</f>
        <v>33</v>
      </c>
      <c r="B1154" s="4" t="str">
        <f>"DECONS AQUITAINE SAS"</f>
        <v>DECONS AQUITAINE SAS</v>
      </c>
      <c r="C1154" s="4">
        <v>832222467</v>
      </c>
      <c r="D1154" s="3" t="s">
        <v>0</v>
      </c>
      <c r="E1154" s="2" t="str">
        <f>"PR3300061D"</f>
        <v>PR3300061D</v>
      </c>
      <c r="F1154" s="5">
        <v>43634</v>
      </c>
      <c r="G1154" s="5">
        <v>54789</v>
      </c>
      <c r="H1154" s="4" t="str">
        <f>""</f>
        <v/>
      </c>
      <c r="I1154" s="4" t="str">
        <f>""</f>
        <v/>
      </c>
    </row>
    <row r="1155" spans="1:9" x14ac:dyDescent="0.3">
      <c r="A1155" s="1" t="str">
        <f>"33"</f>
        <v>33</v>
      </c>
      <c r="B1155" s="4" t="str">
        <f>"DECONS AQUITAINE SAS"</f>
        <v>DECONS AQUITAINE SAS</v>
      </c>
      <c r="C1155" s="4">
        <v>832222467</v>
      </c>
      <c r="D1155" s="3" t="s">
        <v>0</v>
      </c>
      <c r="E1155" s="2" t="str">
        <f>"PR3300062D"</f>
        <v>PR3300062D</v>
      </c>
      <c r="F1155" s="5">
        <v>43752</v>
      </c>
      <c r="G1155" s="5">
        <v>54789</v>
      </c>
      <c r="H1155" s="4" t="str">
        <f>""</f>
        <v/>
      </c>
      <c r="I1155" s="4" t="str">
        <f>""</f>
        <v/>
      </c>
    </row>
    <row r="1156" spans="1:9" x14ac:dyDescent="0.3">
      <c r="A1156" s="1" t="str">
        <f>"33"</f>
        <v>33</v>
      </c>
      <c r="B1156" s="4" t="str">
        <f>"DECONS AQUITAINE"</f>
        <v>DECONS AQUITAINE</v>
      </c>
      <c r="C1156" s="4">
        <v>832222467</v>
      </c>
      <c r="D1156" s="3" t="s">
        <v>0</v>
      </c>
      <c r="E1156" s="2" t="str">
        <f>"PR3300064D"</f>
        <v>PR3300064D</v>
      </c>
      <c r="F1156" s="5">
        <v>44965</v>
      </c>
      <c r="G1156" s="5">
        <v>54789</v>
      </c>
      <c r="H1156" s="4" t="str">
        <f>""</f>
        <v/>
      </c>
      <c r="I1156" s="4" t="str">
        <f>""</f>
        <v/>
      </c>
    </row>
    <row r="1157" spans="1:9" x14ac:dyDescent="0.3">
      <c r="A1157" s="1" t="str">
        <f>"33"</f>
        <v>33</v>
      </c>
      <c r="B1157" s="4" t="str">
        <f>"DECONS SA"</f>
        <v>DECONS SA</v>
      </c>
      <c r="C1157" s="4">
        <v>832222467</v>
      </c>
      <c r="D1157" s="3" t="s">
        <v>0</v>
      </c>
      <c r="E1157" s="2" t="str">
        <f>"0005200601"</f>
        <v>0005200601</v>
      </c>
      <c r="F1157" s="5">
        <v>43585</v>
      </c>
      <c r="G1157" s="5">
        <v>54789</v>
      </c>
      <c r="H1157" s="4" t="str">
        <f>""</f>
        <v/>
      </c>
      <c r="I1157" s="4" t="str">
        <f>""</f>
        <v/>
      </c>
    </row>
    <row r="1158" spans="1:9" x14ac:dyDescent="0.3">
      <c r="A1158" s="1" t="str">
        <f>"33"</f>
        <v>33</v>
      </c>
      <c r="B1158" s="4" t="str">
        <f>"SAS CAPY"</f>
        <v>SAS CAPY</v>
      </c>
      <c r="C1158" s="4">
        <v>850213877</v>
      </c>
      <c r="D1158" s="3" t="s">
        <v>0</v>
      </c>
      <c r="E1158" s="2" t="str">
        <f>"PR3300063D"</f>
        <v>PR3300063D</v>
      </c>
      <c r="F1158" s="5">
        <v>43678</v>
      </c>
      <c r="G1158" s="5">
        <v>54789</v>
      </c>
      <c r="H1158" s="4" t="str">
        <f>""</f>
        <v/>
      </c>
      <c r="I1158" s="4" t="str">
        <f>""</f>
        <v/>
      </c>
    </row>
    <row r="1159" spans="1:9" x14ac:dyDescent="0.3">
      <c r="A1159" s="1" t="str">
        <f>"33"</f>
        <v>33</v>
      </c>
      <c r="B1159" s="4" t="str">
        <f>"SAS CAPY"</f>
        <v>SAS CAPY</v>
      </c>
      <c r="C1159" s="4">
        <v>850213877</v>
      </c>
      <c r="D1159" s="3" t="s">
        <v>0</v>
      </c>
      <c r="E1159" s="2" t="str">
        <f>"0005207913"</f>
        <v>0005207913</v>
      </c>
      <c r="F1159" s="5">
        <v>43678</v>
      </c>
      <c r="G1159" s="5">
        <v>54789</v>
      </c>
      <c r="H1159" s="4" t="str">
        <f>""</f>
        <v/>
      </c>
      <c r="I1159" s="4" t="str">
        <f>""</f>
        <v/>
      </c>
    </row>
    <row r="1160" spans="1:9" x14ac:dyDescent="0.3">
      <c r="A1160" s="1" t="str">
        <f>"33"</f>
        <v>33</v>
      </c>
      <c r="B1160" s="4" t="str">
        <f>"SAS CAPY"</f>
        <v>SAS CAPY</v>
      </c>
      <c r="C1160" s="4">
        <v>850213877</v>
      </c>
      <c r="D1160" s="3" t="s">
        <v>0</v>
      </c>
      <c r="E1160" s="2" t="str">
        <f>"0005207913"</f>
        <v>0005207913</v>
      </c>
      <c r="F1160" s="5">
        <v>43678</v>
      </c>
      <c r="G1160" s="5">
        <v>54789</v>
      </c>
      <c r="H1160" s="4" t="str">
        <f>""</f>
        <v/>
      </c>
      <c r="I1160" s="4" t="str">
        <f>""</f>
        <v/>
      </c>
    </row>
    <row r="1161" spans="1:9" x14ac:dyDescent="0.3">
      <c r="A1161" s="1" t="str">
        <f>"33"</f>
        <v>33</v>
      </c>
      <c r="B1161" s="4" t="str">
        <f>"SAS CAPY"</f>
        <v>SAS CAPY</v>
      </c>
      <c r="C1161" s="4">
        <v>850213877</v>
      </c>
      <c r="D1161" s="3" t="s">
        <v>0</v>
      </c>
      <c r="E1161" s="2" t="str">
        <f>"PR3300063D"</f>
        <v>PR3300063D</v>
      </c>
      <c r="F1161" s="5">
        <v>43678</v>
      </c>
      <c r="G1161" s="5">
        <v>54789</v>
      </c>
      <c r="H1161" s="4" t="str">
        <f>""</f>
        <v/>
      </c>
      <c r="I1161" s="4" t="str">
        <f>""</f>
        <v/>
      </c>
    </row>
    <row r="1162" spans="1:9" x14ac:dyDescent="0.3">
      <c r="A1162" s="1" t="str">
        <f>"34"</f>
        <v>34</v>
      </c>
      <c r="B1162" s="4" t="str">
        <f>"COMPTOIR DU REEMPLOI"</f>
        <v>COMPTOIR DU REEMPLOI</v>
      </c>
      <c r="C1162" s="4">
        <v>332333509</v>
      </c>
      <c r="D1162" s="3" t="s">
        <v>0</v>
      </c>
      <c r="E1162" s="2" t="str">
        <f>"PR3100004D"</f>
        <v>PR3100004D</v>
      </c>
      <c r="F1162" s="5">
        <v>43262</v>
      </c>
      <c r="G1162" s="5">
        <v>54789</v>
      </c>
      <c r="H1162" s="4" t="str">
        <f>""</f>
        <v/>
      </c>
      <c r="I1162" s="4" t="str">
        <f>""</f>
        <v/>
      </c>
    </row>
    <row r="1163" spans="1:9" x14ac:dyDescent="0.3">
      <c r="A1163" s="1" t="str">
        <f>"34"</f>
        <v>34</v>
      </c>
      <c r="B1163" s="4" t="str">
        <f>"PURFER"</f>
        <v>PURFER</v>
      </c>
      <c r="C1163" s="4">
        <v>332628171</v>
      </c>
      <c r="D1163" s="3" t="s">
        <v>0</v>
      </c>
      <c r="E1163" s="2" t="str">
        <f>"0006601050"</f>
        <v>0006601050</v>
      </c>
      <c r="F1163" s="5">
        <v>39016</v>
      </c>
      <c r="G1163" s="5">
        <v>54789</v>
      </c>
      <c r="H1163" s="4" t="str">
        <f>""</f>
        <v/>
      </c>
      <c r="I1163" s="4" t="str">
        <f>""</f>
        <v/>
      </c>
    </row>
    <row r="1164" spans="1:9" x14ac:dyDescent="0.3">
      <c r="A1164" s="1" t="str">
        <f>"34"</f>
        <v>34</v>
      </c>
      <c r="B1164" s="4" t="str">
        <f>"PURFER"</f>
        <v>PURFER</v>
      </c>
      <c r="C1164" s="4">
        <v>332628171</v>
      </c>
      <c r="D1164" s="3" t="s">
        <v>0</v>
      </c>
      <c r="E1164" s="2" t="str">
        <f>"PR340012D"</f>
        <v>PR340012D</v>
      </c>
      <c r="F1164" s="5">
        <v>39016</v>
      </c>
      <c r="G1164" s="5">
        <v>54789</v>
      </c>
      <c r="H1164" s="4" t="str">
        <f>""</f>
        <v/>
      </c>
      <c r="I1164" s="4" t="str">
        <f>""</f>
        <v/>
      </c>
    </row>
    <row r="1165" spans="1:9" x14ac:dyDescent="0.3">
      <c r="A1165" s="1" t="str">
        <f>"34"</f>
        <v>34</v>
      </c>
      <c r="B1165" s="4" t="str">
        <f>"SOCIETE PURFER"</f>
        <v>SOCIETE PURFER</v>
      </c>
      <c r="C1165" s="4">
        <v>332628171</v>
      </c>
      <c r="D1165" s="3" t="s">
        <v>0</v>
      </c>
      <c r="E1165" s="2" t="str">
        <f>"PR340027D"</f>
        <v>PR340027D</v>
      </c>
      <c r="F1165" s="5">
        <v>42520</v>
      </c>
      <c r="G1165" s="5">
        <v>54789</v>
      </c>
      <c r="H1165" s="4" t="str">
        <f>""</f>
        <v/>
      </c>
      <c r="I1165" s="4" t="str">
        <f>""</f>
        <v/>
      </c>
    </row>
    <row r="1166" spans="1:9" x14ac:dyDescent="0.3">
      <c r="A1166" s="1" t="str">
        <f>"34"</f>
        <v>34</v>
      </c>
      <c r="B1166" s="4" t="str">
        <f>"GUY DAUPHIN ENVIRONNEMENT"</f>
        <v>GUY DAUPHIN ENVIRONNEMENT</v>
      </c>
      <c r="C1166" s="4">
        <v>333891729</v>
      </c>
      <c r="D1166" s="3" t="s">
        <v>0</v>
      </c>
      <c r="E1166" s="2" t="str">
        <f>"PR340005D"</f>
        <v>PR340005D</v>
      </c>
      <c r="F1166" s="5">
        <v>38861</v>
      </c>
      <c r="G1166" s="5">
        <v>54789</v>
      </c>
      <c r="H1166" s="4" t="str">
        <f>""</f>
        <v/>
      </c>
      <c r="I1166" s="4" t="str">
        <f>""</f>
        <v/>
      </c>
    </row>
    <row r="1167" spans="1:9" x14ac:dyDescent="0.3">
      <c r="A1167" s="1" t="str">
        <f>"34"</f>
        <v>34</v>
      </c>
      <c r="B1167" s="4" t="str">
        <f>"SARL AUTO CHOC"</f>
        <v>SARL AUTO CHOC</v>
      </c>
      <c r="C1167" s="4">
        <v>338881659</v>
      </c>
      <c r="D1167" s="3" t="s">
        <v>0</v>
      </c>
      <c r="E1167" s="2" t="str">
        <f>"PR340016D"</f>
        <v>PR340016D</v>
      </c>
      <c r="F1167" s="5">
        <v>41593</v>
      </c>
      <c r="G1167" s="5">
        <v>54789</v>
      </c>
      <c r="H1167" s="4" t="str">
        <f>""</f>
        <v/>
      </c>
      <c r="I1167" s="4" t="str">
        <f>""</f>
        <v/>
      </c>
    </row>
    <row r="1168" spans="1:9" x14ac:dyDescent="0.3">
      <c r="A1168" s="1" t="str">
        <f>"34"</f>
        <v>34</v>
      </c>
      <c r="B1168" s="4" t="str">
        <f>"SARL PEREZ"</f>
        <v>SARL PEREZ</v>
      </c>
      <c r="C1168" s="4">
        <v>340556455</v>
      </c>
      <c r="D1168" s="3" t="s">
        <v>0</v>
      </c>
      <c r="E1168" s="2" t="str">
        <f>"0006601272"</f>
        <v>0006601272</v>
      </c>
      <c r="F1168" s="5">
        <v>42313</v>
      </c>
      <c r="G1168" s="5">
        <v>54789</v>
      </c>
      <c r="H1168" s="4" t="str">
        <f>""</f>
        <v/>
      </c>
      <c r="I1168" s="4" t="str">
        <f>""</f>
        <v/>
      </c>
    </row>
    <row r="1169" spans="1:9" x14ac:dyDescent="0.3">
      <c r="A1169" s="1" t="str">
        <f>"34"</f>
        <v>34</v>
      </c>
      <c r="B1169" s="4" t="str">
        <f>"SARL PEREZ"</f>
        <v>SARL PEREZ</v>
      </c>
      <c r="C1169" s="4">
        <v>340556455</v>
      </c>
      <c r="D1169" s="3" t="s">
        <v>0</v>
      </c>
      <c r="E1169" s="2" t="str">
        <f>"PR340021D"</f>
        <v>PR340021D</v>
      </c>
      <c r="F1169" s="5">
        <v>42313</v>
      </c>
      <c r="G1169" s="5">
        <v>54789</v>
      </c>
      <c r="H1169" s="4" t="str">
        <f>""</f>
        <v/>
      </c>
      <c r="I1169" s="4" t="str">
        <f>""</f>
        <v/>
      </c>
    </row>
    <row r="1170" spans="1:9" x14ac:dyDescent="0.3">
      <c r="A1170" s="1" t="str">
        <f>"34"</f>
        <v>34</v>
      </c>
      <c r="B1170" s="4" t="str">
        <f>"HUFFSCHMITT MAXIME"</f>
        <v>HUFFSCHMITT MAXIME</v>
      </c>
      <c r="C1170" s="4">
        <v>350966230</v>
      </c>
      <c r="D1170" s="3" t="s">
        <v>0</v>
      </c>
      <c r="E1170" s="2" t="str">
        <f>"PR340017D"</f>
        <v>PR340017D</v>
      </c>
      <c r="F1170" s="5">
        <v>41782</v>
      </c>
      <c r="G1170" s="5">
        <v>54789</v>
      </c>
      <c r="H1170" s="4" t="str">
        <f>""</f>
        <v/>
      </c>
      <c r="I1170" s="4" t="str">
        <f>""</f>
        <v/>
      </c>
    </row>
    <row r="1171" spans="1:9" x14ac:dyDescent="0.3">
      <c r="A1171" s="1" t="str">
        <f>"34"</f>
        <v>34</v>
      </c>
      <c r="B1171" s="4" t="str">
        <f>"HUFFSCHMITT MAXIME"</f>
        <v>HUFFSCHMITT MAXIME</v>
      </c>
      <c r="C1171" s="4">
        <v>350966230</v>
      </c>
      <c r="D1171" s="3" t="s">
        <v>0</v>
      </c>
      <c r="E1171" s="2" t="str">
        <f>"0006601323"</f>
        <v>0006601323</v>
      </c>
      <c r="F1171" s="5">
        <v>41782</v>
      </c>
      <c r="G1171" s="5">
        <v>54789</v>
      </c>
      <c r="H1171" s="4" t="str">
        <f>""</f>
        <v/>
      </c>
      <c r="I1171" s="4" t="str">
        <f>""</f>
        <v/>
      </c>
    </row>
    <row r="1172" spans="1:9" x14ac:dyDescent="0.3">
      <c r="A1172" s="1" t="str">
        <f>"34"</f>
        <v>34</v>
      </c>
      <c r="B1172" s="4" t="str">
        <f>"SARL TILT AUTO"</f>
        <v>SARL TILT AUTO</v>
      </c>
      <c r="C1172" s="4">
        <v>351040407</v>
      </c>
      <c r="D1172" s="3" t="s">
        <v>0</v>
      </c>
      <c r="E1172" s="2" t="str">
        <f>"0006601140"</f>
        <v>0006601140</v>
      </c>
      <c r="F1172" s="5">
        <v>38916</v>
      </c>
      <c r="G1172" s="5">
        <v>54789</v>
      </c>
      <c r="H1172" s="4" t="str">
        <f>""</f>
        <v/>
      </c>
      <c r="I1172" s="4" t="str">
        <f>""</f>
        <v/>
      </c>
    </row>
    <row r="1173" spans="1:9" x14ac:dyDescent="0.3">
      <c r="A1173" s="1" t="str">
        <f>"34"</f>
        <v>34</v>
      </c>
      <c r="B1173" s="4" t="str">
        <f>"SARL TILT AUTO"</f>
        <v>SARL TILT AUTO</v>
      </c>
      <c r="C1173" s="4">
        <v>351040407</v>
      </c>
      <c r="D1173" s="3" t="s">
        <v>0</v>
      </c>
      <c r="E1173" s="2" t="str">
        <f>"PR340010D"</f>
        <v>PR340010D</v>
      </c>
      <c r="F1173" s="5">
        <v>38916</v>
      </c>
      <c r="G1173" s="5">
        <v>54789</v>
      </c>
      <c r="H1173" s="4" t="str">
        <f>""</f>
        <v/>
      </c>
      <c r="I1173" s="4" t="str">
        <f>""</f>
        <v/>
      </c>
    </row>
    <row r="1174" spans="1:9" x14ac:dyDescent="0.3">
      <c r="A1174" s="1" t="str">
        <f>"34"</f>
        <v>34</v>
      </c>
      <c r="B1174" s="4" t="str">
        <f>"ENTREPRISE PATRICK AMILHAC"</f>
        <v>ENTREPRISE PATRICK AMILHAC</v>
      </c>
      <c r="C1174" s="4">
        <v>353186133</v>
      </c>
      <c r="D1174" s="3" t="s">
        <v>0</v>
      </c>
      <c r="E1174" s="2" t="str">
        <f>"PR340031D"</f>
        <v>PR340031D</v>
      </c>
      <c r="F1174" s="5">
        <v>43567</v>
      </c>
      <c r="G1174" s="5">
        <v>54789</v>
      </c>
      <c r="H1174" s="4" t="str">
        <f>""</f>
        <v/>
      </c>
      <c r="I1174" s="4" t="str">
        <f>""</f>
        <v/>
      </c>
    </row>
    <row r="1175" spans="1:9" x14ac:dyDescent="0.3">
      <c r="A1175" s="1" t="str">
        <f>"34"</f>
        <v>34</v>
      </c>
      <c r="B1175" s="4" t="str">
        <f>"SARL ACR 34"</f>
        <v>SARL ACR 34</v>
      </c>
      <c r="C1175" s="4">
        <v>379733504</v>
      </c>
      <c r="D1175" s="3" t="s">
        <v>0</v>
      </c>
      <c r="E1175" s="2" t="str">
        <f>"0006600839"</f>
        <v>0006600839</v>
      </c>
      <c r="F1175" s="5">
        <v>41831</v>
      </c>
      <c r="G1175" s="5">
        <v>54789</v>
      </c>
      <c r="H1175" s="4" t="str">
        <f>""</f>
        <v/>
      </c>
      <c r="I1175" s="4" t="str">
        <f>""</f>
        <v/>
      </c>
    </row>
    <row r="1176" spans="1:9" x14ac:dyDescent="0.3">
      <c r="A1176" s="1" t="str">
        <f>"34"</f>
        <v>34</v>
      </c>
      <c r="B1176" s="4" t="str">
        <f>"SARL ACR 34"</f>
        <v>SARL ACR 34</v>
      </c>
      <c r="C1176" s="4">
        <v>379733504</v>
      </c>
      <c r="D1176" s="3" t="s">
        <v>0</v>
      </c>
      <c r="E1176" s="2" t="str">
        <f>"PR340018D"</f>
        <v>PR340018D</v>
      </c>
      <c r="F1176" s="5">
        <v>41831</v>
      </c>
      <c r="G1176" s="5">
        <v>54789</v>
      </c>
      <c r="H1176" s="4" t="str">
        <f>""</f>
        <v/>
      </c>
      <c r="I1176" s="4" t="str">
        <f>""</f>
        <v/>
      </c>
    </row>
    <row r="1177" spans="1:9" x14ac:dyDescent="0.3">
      <c r="A1177" s="1" t="str">
        <f>"34"</f>
        <v>34</v>
      </c>
      <c r="B1177" s="4" t="str">
        <f>"JEAN-PIERRE FRAYSSE"</f>
        <v>JEAN-PIERRE FRAYSSE</v>
      </c>
      <c r="C1177" s="4">
        <v>384819975</v>
      </c>
      <c r="D1177" s="3" t="s">
        <v>0</v>
      </c>
      <c r="E1177" s="2" t="str">
        <f>"PR340025D"</f>
        <v>PR340025D</v>
      </c>
      <c r="F1177" s="5">
        <v>41011</v>
      </c>
      <c r="G1177" s="5">
        <v>54789</v>
      </c>
      <c r="H1177" s="4" t="str">
        <f>""</f>
        <v/>
      </c>
      <c r="I1177" s="4" t="str">
        <f>""</f>
        <v/>
      </c>
    </row>
    <row r="1178" spans="1:9" x14ac:dyDescent="0.3">
      <c r="A1178" s="1" t="str">
        <f>"34"</f>
        <v>34</v>
      </c>
      <c r="B1178" s="4" t="str">
        <f>"JEAN-PIERRE FRAYSSE"</f>
        <v>JEAN-PIERRE FRAYSSE</v>
      </c>
      <c r="C1178" s="4">
        <v>384819975</v>
      </c>
      <c r="D1178" s="3" t="s">
        <v>0</v>
      </c>
      <c r="E1178" s="2" t="str">
        <f>"0006600990"</f>
        <v>0006600990</v>
      </c>
      <c r="F1178" s="5">
        <v>41011</v>
      </c>
      <c r="G1178" s="5">
        <v>54789</v>
      </c>
      <c r="H1178" s="4" t="str">
        <f>""</f>
        <v/>
      </c>
      <c r="I1178" s="4" t="str">
        <f>""</f>
        <v/>
      </c>
    </row>
    <row r="1179" spans="1:9" x14ac:dyDescent="0.3">
      <c r="A1179" s="1" t="str">
        <f>"34"</f>
        <v>34</v>
      </c>
      <c r="B1179" s="4" t="str">
        <f>"SARL ARTISANS REUNIS 34"</f>
        <v>SARL ARTISANS REUNIS 34</v>
      </c>
      <c r="C1179" s="4">
        <v>444939698</v>
      </c>
      <c r="D1179" s="3" t="s">
        <v>0</v>
      </c>
      <c r="E1179" s="2" t="str">
        <f>"0006601101"</f>
        <v>0006601101</v>
      </c>
      <c r="F1179" s="5">
        <v>38861</v>
      </c>
      <c r="G1179" s="5">
        <v>54789</v>
      </c>
      <c r="H1179" s="4" t="str">
        <f>""</f>
        <v/>
      </c>
      <c r="I1179" s="4" t="str">
        <f>""</f>
        <v/>
      </c>
    </row>
    <row r="1180" spans="1:9" x14ac:dyDescent="0.3">
      <c r="A1180" s="1" t="str">
        <f>"34"</f>
        <v>34</v>
      </c>
      <c r="B1180" s="4" t="str">
        <f>"SARL ARTISANS REUNIS 34"</f>
        <v>SARL ARTISANS REUNIS 34</v>
      </c>
      <c r="C1180" s="4">
        <v>444939698</v>
      </c>
      <c r="D1180" s="3" t="s">
        <v>0</v>
      </c>
      <c r="E1180" s="2" t="str">
        <f>"PR340003D"</f>
        <v>PR340003D</v>
      </c>
      <c r="F1180" s="5">
        <v>38861</v>
      </c>
      <c r="G1180" s="5">
        <v>54789</v>
      </c>
      <c r="H1180" s="4" t="str">
        <f>""</f>
        <v/>
      </c>
      <c r="I1180" s="4" t="str">
        <f>""</f>
        <v/>
      </c>
    </row>
    <row r="1181" spans="1:9" x14ac:dyDescent="0.3">
      <c r="A1181" s="1" t="str">
        <f>"34"</f>
        <v>34</v>
      </c>
      <c r="B1181" s="4" t="str">
        <f>"SOCIETE France SUD AUTOMOBILE"</f>
        <v>SOCIETE France SUD AUTOMOBILE</v>
      </c>
      <c r="C1181" s="4">
        <v>484394168</v>
      </c>
      <c r="D1181" s="3" t="s">
        <v>0</v>
      </c>
      <c r="E1181" s="2" t="str">
        <f>"PR340033D"</f>
        <v>PR340033D</v>
      </c>
      <c r="F1181" s="5">
        <v>43784</v>
      </c>
      <c r="G1181" s="5">
        <v>54789</v>
      </c>
      <c r="H1181" s="4" t="str">
        <f>""</f>
        <v/>
      </c>
      <c r="I1181" s="4" t="str">
        <f>""</f>
        <v/>
      </c>
    </row>
    <row r="1182" spans="1:9" x14ac:dyDescent="0.3">
      <c r="A1182" s="1" t="str">
        <f>"34"</f>
        <v>34</v>
      </c>
      <c r="B1182" s="4" t="str">
        <f>"SARL SCOTTO"</f>
        <v>SARL SCOTTO</v>
      </c>
      <c r="C1182" s="4">
        <v>491521985</v>
      </c>
      <c r="D1182" s="3" t="s">
        <v>0</v>
      </c>
      <c r="E1182" s="2" t="str">
        <f>"0006605294"</f>
        <v>0006605294</v>
      </c>
      <c r="F1182" s="5">
        <v>41719</v>
      </c>
      <c r="G1182" s="5">
        <v>54789</v>
      </c>
      <c r="H1182" s="4" t="str">
        <f>""</f>
        <v/>
      </c>
      <c r="I1182" s="4" t="str">
        <f>""</f>
        <v/>
      </c>
    </row>
    <row r="1183" spans="1:9" x14ac:dyDescent="0.3">
      <c r="A1183" s="1" t="str">
        <f>"34"</f>
        <v>34</v>
      </c>
      <c r="B1183" s="4" t="str">
        <f>"SARL SCOTTO"</f>
        <v>SARL SCOTTO</v>
      </c>
      <c r="C1183" s="4">
        <v>491521985</v>
      </c>
      <c r="D1183" s="3" t="s">
        <v>0</v>
      </c>
      <c r="E1183" s="2" t="str">
        <f>"PR340026D"</f>
        <v>PR340026D</v>
      </c>
      <c r="F1183" s="5">
        <v>41719</v>
      </c>
      <c r="G1183" s="5">
        <v>54789</v>
      </c>
      <c r="H1183" s="4" t="str">
        <f>""</f>
        <v/>
      </c>
      <c r="I1183" s="4" t="str">
        <f>""</f>
        <v/>
      </c>
    </row>
    <row r="1184" spans="1:9" x14ac:dyDescent="0.3">
      <c r="A1184" s="1" t="str">
        <f>"34"</f>
        <v>34</v>
      </c>
      <c r="B1184" s="4" t="str">
        <f>"SARL D'EXPLOITATION AGDE AUTO PIECES"</f>
        <v>SARL D'EXPLOITATION AGDE AUTO PIECES</v>
      </c>
      <c r="C1184" s="4">
        <v>498750942</v>
      </c>
      <c r="D1184" s="3" t="s">
        <v>0</v>
      </c>
      <c r="E1184" s="2" t="str">
        <f>"0006600838"</f>
        <v>0006600838</v>
      </c>
      <c r="F1184" s="5">
        <v>39695</v>
      </c>
      <c r="G1184" s="5">
        <v>54789</v>
      </c>
      <c r="H1184" s="4" t="str">
        <f>""</f>
        <v/>
      </c>
      <c r="I1184" s="4" t="str">
        <f>""</f>
        <v/>
      </c>
    </row>
    <row r="1185" spans="1:9" x14ac:dyDescent="0.3">
      <c r="A1185" s="1" t="str">
        <f>"34"</f>
        <v>34</v>
      </c>
      <c r="B1185" s="4" t="str">
        <f>"SARL D'EXPLOITATION AGDE AUTO PIECES"</f>
        <v>SARL D'EXPLOITATION AGDE AUTO PIECES</v>
      </c>
      <c r="C1185" s="4">
        <v>498750942</v>
      </c>
      <c r="D1185" s="3" t="s">
        <v>0</v>
      </c>
      <c r="E1185" s="2" t="str">
        <f>"PR340019D"</f>
        <v>PR340019D</v>
      </c>
      <c r="F1185" s="5">
        <v>39695</v>
      </c>
      <c r="G1185" s="5">
        <v>54789</v>
      </c>
      <c r="H1185" s="4" t="str">
        <f>""</f>
        <v/>
      </c>
      <c r="I1185" s="4" t="str">
        <f>""</f>
        <v/>
      </c>
    </row>
    <row r="1186" spans="1:9" x14ac:dyDescent="0.3">
      <c r="A1186" s="1" t="str">
        <f>"34"</f>
        <v>34</v>
      </c>
      <c r="B1186" s="4" t="str">
        <f>"SARL CAR A BOSSES"</f>
        <v>SARL CAR A BOSSES</v>
      </c>
      <c r="C1186" s="4">
        <v>499181345</v>
      </c>
      <c r="D1186" s="3" t="s">
        <v>0</v>
      </c>
      <c r="E1186" s="2" t="str">
        <f>"0006604484"</f>
        <v>0006604484</v>
      </c>
      <c r="F1186" s="5">
        <v>40695</v>
      </c>
      <c r="G1186" s="5">
        <v>54789</v>
      </c>
      <c r="H1186" s="4" t="str">
        <f>""</f>
        <v/>
      </c>
      <c r="I1186" s="4" t="str">
        <f>""</f>
        <v/>
      </c>
    </row>
    <row r="1187" spans="1:9" x14ac:dyDescent="0.3">
      <c r="A1187" s="1" t="str">
        <f>"34"</f>
        <v>34</v>
      </c>
      <c r="B1187" s="4" t="str">
        <f>"SARL CAR A BOSSES"</f>
        <v>SARL CAR A BOSSES</v>
      </c>
      <c r="C1187" s="4">
        <v>499181345</v>
      </c>
      <c r="D1187" s="3" t="s">
        <v>0</v>
      </c>
      <c r="E1187" s="2" t="str">
        <f>"PR340024D"</f>
        <v>PR340024D</v>
      </c>
      <c r="F1187" s="5">
        <v>40695</v>
      </c>
      <c r="G1187" s="5">
        <v>54789</v>
      </c>
      <c r="H1187" s="4" t="str">
        <f>""</f>
        <v/>
      </c>
      <c r="I1187" s="4" t="str">
        <f>""</f>
        <v/>
      </c>
    </row>
    <row r="1188" spans="1:9" x14ac:dyDescent="0.3">
      <c r="A1188" s="1" t="str">
        <f>"34"</f>
        <v>34</v>
      </c>
      <c r="B1188" s="4" t="str">
        <f>"DAVID LEREAU"</f>
        <v>DAVID LEREAU</v>
      </c>
      <c r="C1188" s="4">
        <v>514653351</v>
      </c>
      <c r="D1188" s="3" t="s">
        <v>0</v>
      </c>
      <c r="E1188" s="2" t="str">
        <f>"PR340020D"</f>
        <v>PR340020D</v>
      </c>
      <c r="F1188" s="5">
        <v>42227</v>
      </c>
      <c r="G1188" s="5">
        <v>54789</v>
      </c>
      <c r="H1188" s="4" t="str">
        <f>""</f>
        <v/>
      </c>
      <c r="I1188" s="4" t="str">
        <f>""</f>
        <v/>
      </c>
    </row>
    <row r="1189" spans="1:9" x14ac:dyDescent="0.3">
      <c r="A1189" s="1" t="str">
        <f>"34"</f>
        <v>34</v>
      </c>
      <c r="B1189" s="4" t="str">
        <f>"DAVID LEREAU"</f>
        <v>DAVID LEREAU</v>
      </c>
      <c r="C1189" s="4">
        <v>514653351</v>
      </c>
      <c r="D1189" s="3" t="s">
        <v>0</v>
      </c>
      <c r="E1189" s="2" t="str">
        <f>"0006604245"</f>
        <v>0006604245</v>
      </c>
      <c r="F1189" s="5">
        <v>42227</v>
      </c>
      <c r="G1189" s="5">
        <v>54789</v>
      </c>
      <c r="H1189" s="4" t="str">
        <f>""</f>
        <v/>
      </c>
      <c r="I1189" s="4" t="str">
        <f>""</f>
        <v/>
      </c>
    </row>
    <row r="1190" spans="1:9" x14ac:dyDescent="0.3">
      <c r="A1190" s="1" t="str">
        <f>"34"</f>
        <v>34</v>
      </c>
      <c r="B1190" s="4" t="str">
        <f>"EURL STEFAN RECYCLAGE"</f>
        <v>EURL STEFAN RECYCLAGE</v>
      </c>
      <c r="C1190" s="4">
        <v>522708577</v>
      </c>
      <c r="D1190" s="3" t="s">
        <v>0</v>
      </c>
      <c r="E1190" s="2" t="str">
        <f>"PR340009D"</f>
        <v>PR340009D</v>
      </c>
      <c r="F1190" s="5">
        <v>42306</v>
      </c>
      <c r="G1190" s="5">
        <v>54789</v>
      </c>
      <c r="H1190" s="4" t="str">
        <f>""</f>
        <v/>
      </c>
      <c r="I1190" s="4" t="str">
        <f>""</f>
        <v/>
      </c>
    </row>
    <row r="1191" spans="1:9" x14ac:dyDescent="0.3">
      <c r="A1191" s="1" t="str">
        <f>"34"</f>
        <v>34</v>
      </c>
      <c r="B1191" s="4" t="str">
        <f>"SARL PANTACHOC"</f>
        <v>SARL PANTACHOC</v>
      </c>
      <c r="C1191" s="4">
        <v>523625044</v>
      </c>
      <c r="D1191" s="3" t="s">
        <v>0</v>
      </c>
      <c r="E1191" s="2" t="str">
        <f>"0006606494"</f>
        <v>0006606494</v>
      </c>
      <c r="F1191" s="5">
        <v>42858</v>
      </c>
      <c r="G1191" s="5">
        <v>54789</v>
      </c>
      <c r="H1191" s="4" t="str">
        <f>""</f>
        <v/>
      </c>
      <c r="I1191" s="4" t="str">
        <f>""</f>
        <v/>
      </c>
    </row>
    <row r="1192" spans="1:9" x14ac:dyDescent="0.3">
      <c r="A1192" s="1" t="str">
        <f>"34"</f>
        <v>34</v>
      </c>
      <c r="B1192" s="4" t="str">
        <f>"SARL PANTACHOC"</f>
        <v>SARL PANTACHOC</v>
      </c>
      <c r="C1192" s="4">
        <v>523625044</v>
      </c>
      <c r="D1192" s="3" t="s">
        <v>0</v>
      </c>
      <c r="E1192" s="2" t="str">
        <f>"PR340028D"</f>
        <v>PR340028D</v>
      </c>
      <c r="F1192" s="5">
        <v>42858</v>
      </c>
      <c r="G1192" s="5">
        <v>54789</v>
      </c>
      <c r="H1192" s="4" t="str">
        <f>""</f>
        <v/>
      </c>
      <c r="I1192" s="4" t="str">
        <f>""</f>
        <v/>
      </c>
    </row>
    <row r="1193" spans="1:9" x14ac:dyDescent="0.3">
      <c r="A1193" s="1" t="str">
        <f>"34"</f>
        <v>34</v>
      </c>
      <c r="B1193" s="4" t="str">
        <f>"SARL DEMO DU PIC"</f>
        <v>SARL DEMO DU PIC</v>
      </c>
      <c r="C1193" s="4">
        <v>528648025</v>
      </c>
      <c r="D1193" s="3" t="s">
        <v>0</v>
      </c>
      <c r="E1193" s="2" t="str">
        <f>"PR340013D"</f>
        <v>PR340013D</v>
      </c>
      <c r="F1193" s="5">
        <v>39016</v>
      </c>
      <c r="G1193" s="5">
        <v>54789</v>
      </c>
      <c r="H1193" s="4" t="str">
        <f>""</f>
        <v/>
      </c>
      <c r="I1193" s="4" t="str">
        <f>""</f>
        <v/>
      </c>
    </row>
    <row r="1194" spans="1:9" x14ac:dyDescent="0.3">
      <c r="A1194" s="1" t="str">
        <f>"34"</f>
        <v>34</v>
      </c>
      <c r="B1194" s="4" t="str">
        <f>"SARL SAR FER"</f>
        <v>SARL SAR FER</v>
      </c>
      <c r="C1194" s="4">
        <v>539014688</v>
      </c>
      <c r="D1194" s="3" t="s">
        <v>0</v>
      </c>
      <c r="E1194" s="2" t="str">
        <f>"000660970"</f>
        <v>000660970</v>
      </c>
      <c r="F1194" s="5">
        <v>41593</v>
      </c>
      <c r="G1194" s="5">
        <v>54789</v>
      </c>
      <c r="H1194" s="4" t="str">
        <f>""</f>
        <v/>
      </c>
      <c r="I1194" s="4" t="str">
        <f>""</f>
        <v/>
      </c>
    </row>
    <row r="1195" spans="1:9" x14ac:dyDescent="0.3">
      <c r="A1195" s="1" t="str">
        <f>"34"</f>
        <v>34</v>
      </c>
      <c r="B1195" s="4" t="str">
        <f>"SARL SAR FER"</f>
        <v>SARL SAR FER</v>
      </c>
      <c r="C1195" s="4">
        <v>539014688</v>
      </c>
      <c r="D1195" s="3" t="s">
        <v>0</v>
      </c>
      <c r="E1195" s="2" t="str">
        <f>"PR340015D"</f>
        <v>PR340015D</v>
      </c>
      <c r="F1195" s="5">
        <v>41593</v>
      </c>
      <c r="G1195" s="5">
        <v>54789</v>
      </c>
      <c r="H1195" s="4" t="str">
        <f>""</f>
        <v/>
      </c>
      <c r="I1195" s="4" t="str">
        <f>""</f>
        <v/>
      </c>
    </row>
    <row r="1196" spans="1:9" x14ac:dyDescent="0.3">
      <c r="A1196" s="1" t="str">
        <f>"34"</f>
        <v>34</v>
      </c>
      <c r="B1196" s="4" t="str">
        <f>"SARL AUTO EXPRESS"</f>
        <v>SARL AUTO EXPRESS</v>
      </c>
      <c r="C1196" s="4">
        <v>784174989</v>
      </c>
      <c r="D1196" s="3" t="s">
        <v>0</v>
      </c>
      <c r="E1196" s="2" t="str">
        <f>"0006601103"</f>
        <v>0006601103</v>
      </c>
      <c r="F1196" s="5">
        <v>38916</v>
      </c>
      <c r="G1196" s="5">
        <v>54789</v>
      </c>
      <c r="H1196" s="4" t="str">
        <f>""</f>
        <v/>
      </c>
      <c r="I1196" s="4" t="str">
        <f>""</f>
        <v/>
      </c>
    </row>
    <row r="1197" spans="1:9" x14ac:dyDescent="0.3">
      <c r="A1197" s="1" t="str">
        <f>"34"</f>
        <v>34</v>
      </c>
      <c r="B1197" s="4" t="str">
        <f>"SARL AUTO EXPRESS"</f>
        <v>SARL AUTO EXPRESS</v>
      </c>
      <c r="C1197" s="4">
        <v>784174989</v>
      </c>
      <c r="D1197" s="3" t="s">
        <v>0</v>
      </c>
      <c r="E1197" s="2" t="str">
        <f>"PR340008D"</f>
        <v>PR340008D</v>
      </c>
      <c r="F1197" s="5">
        <v>38916</v>
      </c>
      <c r="G1197" s="5">
        <v>54789</v>
      </c>
      <c r="H1197" s="4" t="str">
        <f>""</f>
        <v/>
      </c>
      <c r="I1197" s="4" t="str">
        <f>""</f>
        <v/>
      </c>
    </row>
    <row r="1198" spans="1:9" x14ac:dyDescent="0.3">
      <c r="A1198" s="1" t="str">
        <f>"34"</f>
        <v>34</v>
      </c>
      <c r="B1198" s="4" t="str">
        <f>"CASSE AUTO DU LANGUEDOC"</f>
        <v>CASSE AUTO DU LANGUEDOC</v>
      </c>
      <c r="C1198" s="4">
        <v>807384672</v>
      </c>
      <c r="D1198" s="3" t="s">
        <v>0</v>
      </c>
      <c r="E1198" s="2" t="str">
        <f>"0006601223"</f>
        <v>0006601223</v>
      </c>
      <c r="F1198" s="5">
        <v>43564</v>
      </c>
      <c r="G1198" s="5">
        <v>54789</v>
      </c>
      <c r="H1198" s="4" t="str">
        <f>""</f>
        <v/>
      </c>
      <c r="I1198" s="4" t="str">
        <f>""</f>
        <v/>
      </c>
    </row>
    <row r="1199" spans="1:9" x14ac:dyDescent="0.3">
      <c r="A1199" s="1" t="str">
        <f>"34"</f>
        <v>34</v>
      </c>
      <c r="B1199" s="4" t="str">
        <f>"CASSE AUTO DU LANGUEDOC"</f>
        <v>CASSE AUTO DU LANGUEDOC</v>
      </c>
      <c r="C1199" s="4">
        <v>807384672</v>
      </c>
      <c r="D1199" s="3" t="s">
        <v>0</v>
      </c>
      <c r="E1199" s="2" t="str">
        <f>"PR340032D"</f>
        <v>PR340032D</v>
      </c>
      <c r="F1199" s="5">
        <v>43564</v>
      </c>
      <c r="G1199" s="5">
        <v>54789</v>
      </c>
      <c r="H1199" s="4" t="str">
        <f>""</f>
        <v/>
      </c>
      <c r="I1199" s="4" t="str">
        <f>""</f>
        <v/>
      </c>
    </row>
    <row r="1200" spans="1:9" x14ac:dyDescent="0.3">
      <c r="A1200" s="1" t="str">
        <f>"34"</f>
        <v>34</v>
      </c>
      <c r="B1200" s="4" t="str">
        <f>"SARL JA NEGOCES"</f>
        <v>SARL JA NEGOCES</v>
      </c>
      <c r="C1200" s="4">
        <v>808666531</v>
      </c>
      <c r="D1200" s="3" t="s">
        <v>0</v>
      </c>
      <c r="E1200" s="2" t="str">
        <f>"PR340029D"</f>
        <v>PR340029D</v>
      </c>
      <c r="F1200" s="5">
        <v>42990</v>
      </c>
      <c r="G1200" s="5">
        <v>54789</v>
      </c>
      <c r="H1200" s="4" t="str">
        <f>""</f>
        <v/>
      </c>
      <c r="I1200" s="4" t="str">
        <f>""</f>
        <v/>
      </c>
    </row>
    <row r="1201" spans="1:9" x14ac:dyDescent="0.3">
      <c r="A1201" s="1" t="str">
        <f>"34"</f>
        <v>34</v>
      </c>
      <c r="B1201" s="4" t="str">
        <f>"SARL FERT DEMOLITION HERAULT"</f>
        <v>SARL FERT DEMOLITION HERAULT</v>
      </c>
      <c r="C1201" s="4">
        <v>808846968</v>
      </c>
      <c r="D1201" s="3" t="s">
        <v>0</v>
      </c>
      <c r="E1201" s="2" t="str">
        <f>"PR340007D"</f>
        <v>PR340007D</v>
      </c>
      <c r="F1201" s="5">
        <v>42296</v>
      </c>
      <c r="G1201" s="5">
        <v>54789</v>
      </c>
      <c r="H1201" s="4" t="str">
        <f>""</f>
        <v/>
      </c>
      <c r="I1201" s="4" t="str">
        <f>""</f>
        <v/>
      </c>
    </row>
    <row r="1202" spans="1:9" x14ac:dyDescent="0.3">
      <c r="A1202" s="1" t="str">
        <f>"34"</f>
        <v>34</v>
      </c>
      <c r="B1202" s="4" t="str">
        <f>"SARL FERT DEMOLITION HERAULT"</f>
        <v>SARL FERT DEMOLITION HERAULT</v>
      </c>
      <c r="C1202" s="4">
        <v>808846968</v>
      </c>
      <c r="D1202" s="3" t="s">
        <v>0</v>
      </c>
      <c r="E1202" s="2" t="str">
        <f>"0006600977"</f>
        <v>0006600977</v>
      </c>
      <c r="F1202" s="5">
        <v>42296</v>
      </c>
      <c r="G1202" s="5">
        <v>54789</v>
      </c>
      <c r="H1202" s="4" t="str">
        <f>""</f>
        <v/>
      </c>
      <c r="I1202" s="4" t="str">
        <f>""</f>
        <v/>
      </c>
    </row>
    <row r="1203" spans="1:9" x14ac:dyDescent="0.3">
      <c r="A1203" s="1" t="str">
        <f>"34"</f>
        <v>34</v>
      </c>
      <c r="B1203" s="4" t="str">
        <f>"EPUR LANGUEDOC ROUSSILLON"</f>
        <v>EPUR LANGUEDOC ROUSSILLON</v>
      </c>
      <c r="C1203" s="4">
        <v>817909328</v>
      </c>
      <c r="D1203" s="3" t="s">
        <v>0</v>
      </c>
      <c r="E1203" s="2" t="str">
        <f>"0006601123"</f>
        <v>0006601123</v>
      </c>
      <c r="F1203" s="5">
        <v>39004</v>
      </c>
      <c r="G1203" s="5">
        <v>54789</v>
      </c>
      <c r="H1203" s="4" t="str">
        <f>""</f>
        <v/>
      </c>
      <c r="I1203" s="4" t="str">
        <f>""</f>
        <v/>
      </c>
    </row>
    <row r="1204" spans="1:9" x14ac:dyDescent="0.3">
      <c r="A1204" s="1" t="str">
        <f>"34"</f>
        <v>34</v>
      </c>
      <c r="B1204" s="4" t="str">
        <f>"EPUR LANGUEDOC ROUSSILLON"</f>
        <v>EPUR LANGUEDOC ROUSSILLON</v>
      </c>
      <c r="C1204" s="4">
        <v>817909328</v>
      </c>
      <c r="D1204" s="3" t="s">
        <v>0</v>
      </c>
      <c r="E1204" s="2" t="str">
        <f>"PR340006D"</f>
        <v>PR340006D</v>
      </c>
      <c r="F1204" s="5">
        <v>39004</v>
      </c>
      <c r="G1204" s="5">
        <v>54789</v>
      </c>
      <c r="H1204" s="4" t="str">
        <f>""</f>
        <v/>
      </c>
      <c r="I1204" s="4" t="str">
        <f>""</f>
        <v/>
      </c>
    </row>
    <row r="1205" spans="1:9" x14ac:dyDescent="0.3">
      <c r="A1205" s="1" t="str">
        <f>"34"</f>
        <v>34</v>
      </c>
      <c r="B1205" s="4" t="str">
        <f>"AUTO PIECES LUNEL"</f>
        <v>AUTO PIECES LUNEL</v>
      </c>
      <c r="C1205" s="4">
        <v>819303769</v>
      </c>
      <c r="D1205" s="3" t="s">
        <v>0</v>
      </c>
      <c r="E1205" s="2" t="str">
        <f>"PR340034D"</f>
        <v>PR340034D</v>
      </c>
      <c r="F1205" s="5">
        <v>43861</v>
      </c>
      <c r="G1205" s="5">
        <v>54789</v>
      </c>
      <c r="H1205" s="4" t="str">
        <f>""</f>
        <v/>
      </c>
      <c r="I1205" s="4" t="str">
        <f>""</f>
        <v/>
      </c>
    </row>
    <row r="1206" spans="1:9" x14ac:dyDescent="0.3">
      <c r="A1206" s="1" t="str">
        <f>"34"</f>
        <v>34</v>
      </c>
      <c r="B1206" s="4" t="str">
        <f>"Société TJM Démolition"</f>
        <v>Société TJM Démolition</v>
      </c>
      <c r="C1206" s="4">
        <v>832080675</v>
      </c>
      <c r="D1206" s="3" t="s">
        <v>0</v>
      </c>
      <c r="E1206" s="2" t="str">
        <f>"0006604466"</f>
        <v>0006604466</v>
      </c>
      <c r="F1206" s="5">
        <v>43010</v>
      </c>
      <c r="G1206" s="5">
        <v>54789</v>
      </c>
      <c r="H1206" s="4" t="str">
        <f>""</f>
        <v/>
      </c>
      <c r="I1206" s="4" t="str">
        <f>""</f>
        <v/>
      </c>
    </row>
    <row r="1207" spans="1:9" x14ac:dyDescent="0.3">
      <c r="A1207" s="1" t="str">
        <f>"34"</f>
        <v>34</v>
      </c>
      <c r="B1207" s="4" t="str">
        <f>"Société TJM Démolition"</f>
        <v>Société TJM Démolition</v>
      </c>
      <c r="C1207" s="4">
        <v>832080675</v>
      </c>
      <c r="D1207" s="3" t="s">
        <v>0</v>
      </c>
      <c r="E1207" s="2" t="str">
        <f>"PR340030D"</f>
        <v>PR340030D</v>
      </c>
      <c r="F1207" s="5">
        <v>43010</v>
      </c>
      <c r="G1207" s="5">
        <v>54789</v>
      </c>
      <c r="H1207" s="4" t="str">
        <f>""</f>
        <v/>
      </c>
      <c r="I1207" s="4" t="str">
        <f>""</f>
        <v/>
      </c>
    </row>
    <row r="1208" spans="1:9" x14ac:dyDescent="0.3">
      <c r="A1208" s="1" t="str">
        <f>"34"</f>
        <v>34</v>
      </c>
      <c r="B1208" s="4" t="str">
        <f>"SARL PPSB"</f>
        <v>SARL PPSB</v>
      </c>
      <c r="C1208" s="4">
        <v>853066876</v>
      </c>
      <c r="D1208" s="3" t="s">
        <v>0</v>
      </c>
      <c r="E1208" s="2" t="str">
        <f>"PR340035D"</f>
        <v>PR340035D</v>
      </c>
      <c r="F1208" s="5">
        <v>43831</v>
      </c>
      <c r="G1208" s="5">
        <v>54789</v>
      </c>
      <c r="H1208" s="4" t="str">
        <f>""</f>
        <v/>
      </c>
      <c r="I1208" s="4" t="str">
        <f>""</f>
        <v/>
      </c>
    </row>
    <row r="1209" spans="1:9" x14ac:dyDescent="0.3">
      <c r="A1209" s="1" t="str">
        <f>"34"</f>
        <v>34</v>
      </c>
      <c r="B1209" s="4" t="str">
        <f>"CASSE RECUP AUTO"</f>
        <v>CASSE RECUP AUTO</v>
      </c>
      <c r="C1209" s="4">
        <v>899764500</v>
      </c>
      <c r="D1209" s="3" t="s">
        <v>0</v>
      </c>
      <c r="E1209" s="2" t="str">
        <f>"PR340036D"</f>
        <v>PR340036D</v>
      </c>
      <c r="F1209" s="5">
        <v>44628</v>
      </c>
      <c r="G1209" s="5">
        <v>54789</v>
      </c>
      <c r="H1209" s="4" t="str">
        <f>""</f>
        <v/>
      </c>
      <c r="I1209" s="4" t="str">
        <f>""</f>
        <v/>
      </c>
    </row>
    <row r="1210" spans="1:9" x14ac:dyDescent="0.3">
      <c r="A1210" s="1" t="str">
        <f>"34"</f>
        <v>34</v>
      </c>
      <c r="B1210" s="4" t="str">
        <f>"SAS TRENTETROIS"</f>
        <v>SAS TRENTETROIS</v>
      </c>
      <c r="C1210" s="4">
        <v>918702531</v>
      </c>
      <c r="D1210" s="3" t="s">
        <v>0</v>
      </c>
      <c r="E1210" s="2" t="str">
        <f>"PR340037D"</f>
        <v>PR340037D</v>
      </c>
      <c r="F1210" s="5">
        <v>44915</v>
      </c>
      <c r="G1210" s="5">
        <v>54789</v>
      </c>
      <c r="H1210" s="4" t="str">
        <f>""</f>
        <v/>
      </c>
      <c r="I1210" s="4" t="str">
        <f>""</f>
        <v/>
      </c>
    </row>
    <row r="1211" spans="1:9" x14ac:dyDescent="0.3">
      <c r="A1211" s="1" t="str">
        <f>"34 "</f>
        <v xml:space="preserve">34 </v>
      </c>
      <c r="B1211" s="4" t="str">
        <f>"SARL PPSB"</f>
        <v>SARL PPSB</v>
      </c>
      <c r="C1211" s="4">
        <v>853066876</v>
      </c>
      <c r="D1211" s="3" t="s">
        <v>0</v>
      </c>
      <c r="E1211" s="2" t="str">
        <f>"0018300742"</f>
        <v>0018300742</v>
      </c>
      <c r="F1211" s="5">
        <v>43831</v>
      </c>
      <c r="G1211" s="5">
        <v>54789</v>
      </c>
      <c r="H1211" s="4" t="str">
        <f>""</f>
        <v/>
      </c>
      <c r="I1211" s="4" t="str">
        <f>""</f>
        <v/>
      </c>
    </row>
    <row r="1212" spans="1:9" x14ac:dyDescent="0.3">
      <c r="A1212" s="1" t="str">
        <f>"35"</f>
        <v>35</v>
      </c>
      <c r="B1212" s="4" t="str">
        <f>"JOUET ALAIN"</f>
        <v>JOUET ALAIN</v>
      </c>
      <c r="C1212" s="4">
        <v>301874608</v>
      </c>
      <c r="D1212" s="3" t="s">
        <v>0</v>
      </c>
      <c r="E1212" s="2" t="str">
        <f>"0005503517"</f>
        <v>0005503517</v>
      </c>
      <c r="F1212" s="5">
        <v>41632</v>
      </c>
      <c r="G1212" s="5">
        <v>54789</v>
      </c>
      <c r="H1212" s="4" t="str">
        <f>"ALAIN"</f>
        <v>ALAIN</v>
      </c>
      <c r="I1212" s="4" t="str">
        <f>"JOUET"</f>
        <v>JOUET</v>
      </c>
    </row>
    <row r="1213" spans="1:9" x14ac:dyDescent="0.3">
      <c r="A1213" s="1" t="str">
        <f>"35"</f>
        <v>35</v>
      </c>
      <c r="B1213" s="4" t="str">
        <f>"BESLOU BEDEL"</f>
        <v>BESLOU BEDEL</v>
      </c>
      <c r="C1213" s="4">
        <v>349495523</v>
      </c>
      <c r="D1213" s="3" t="s">
        <v>0</v>
      </c>
      <c r="E1213" s="2" t="str">
        <f>"PR3500019D"</f>
        <v>PR3500019D</v>
      </c>
      <c r="F1213" s="5">
        <v>44315</v>
      </c>
      <c r="G1213" s="5">
        <v>54789</v>
      </c>
      <c r="H1213" s="4" t="str">
        <f>"/"</f>
        <v>/</v>
      </c>
      <c r="I1213" s="4" t="str">
        <f>"/"</f>
        <v>/</v>
      </c>
    </row>
    <row r="1214" spans="1:9" x14ac:dyDescent="0.3">
      <c r="A1214" s="1" t="str">
        <f>"35"</f>
        <v>35</v>
      </c>
      <c r="B1214" s="4" t="str">
        <f>"BESLOU BEDEL"</f>
        <v>BESLOU BEDEL</v>
      </c>
      <c r="C1214" s="4">
        <v>349495523</v>
      </c>
      <c r="D1214" s="3" t="s">
        <v>0</v>
      </c>
      <c r="E1214" s="2" t="str">
        <f>"0005503487"</f>
        <v>0005503487</v>
      </c>
      <c r="F1214" s="5">
        <v>39535</v>
      </c>
      <c r="G1214" s="5">
        <v>54789</v>
      </c>
      <c r="H1214" s="4" t="str">
        <f>"/"</f>
        <v>/</v>
      </c>
      <c r="I1214" s="4" t="str">
        <f>"/"</f>
        <v>/</v>
      </c>
    </row>
    <row r="1215" spans="1:9" x14ac:dyDescent="0.3">
      <c r="A1215" s="1" t="str">
        <f>"35"</f>
        <v>35</v>
      </c>
      <c r="B1215" s="4" t="str">
        <f>"LH ENVIRONNEMENT ¿ Saint-Guinoux"</f>
        <v>LH ENVIRONNEMENT ¿ Saint-Guinoux</v>
      </c>
      <c r="C1215" s="4">
        <v>349495523</v>
      </c>
      <c r="D1215" s="3" t="s">
        <v>0</v>
      </c>
      <c r="E1215" s="2" t="str">
        <f>"PR3500041D"</f>
        <v>PR3500041D</v>
      </c>
      <c r="F1215" s="5">
        <v>45391</v>
      </c>
      <c r="G1215" s="5">
        <v>54789</v>
      </c>
      <c r="H1215" s="4" t="str">
        <f>"/"</f>
        <v>/</v>
      </c>
      <c r="I1215" s="4" t="str">
        <f>"/"</f>
        <v>/</v>
      </c>
    </row>
    <row r="1216" spans="1:9" x14ac:dyDescent="0.3">
      <c r="A1216" s="1" t="str">
        <f>"35"</f>
        <v>35</v>
      </c>
      <c r="B1216" s="4" t="str">
        <f>"LH ENVIRONNEMENT ¿ Saint-Guinoux"</f>
        <v>LH ENVIRONNEMENT ¿ Saint-Guinoux</v>
      </c>
      <c r="C1216" s="4">
        <v>349495523</v>
      </c>
      <c r="D1216" s="3" t="s">
        <v>0</v>
      </c>
      <c r="E1216" s="2" t="str">
        <f>"0005515980"</f>
        <v>0005515980</v>
      </c>
      <c r="F1216" s="5">
        <v>45391</v>
      </c>
      <c r="G1216" s="5">
        <v>54789</v>
      </c>
      <c r="H1216" s="4" t="str">
        <f>"/"</f>
        <v>/</v>
      </c>
      <c r="I1216" s="4" t="str">
        <f>"/"</f>
        <v>/</v>
      </c>
    </row>
    <row r="1217" spans="1:9" x14ac:dyDescent="0.3">
      <c r="A1217" s="1" t="str">
        <f>"35"</f>
        <v>35</v>
      </c>
      <c r="B1217" s="4" t="str">
        <f>"A.D.F."</f>
        <v>A.D.F.</v>
      </c>
      <c r="C1217" s="4">
        <v>351057252</v>
      </c>
      <c r="D1217" s="3" t="s">
        <v>0</v>
      </c>
      <c r="E1217" s="2" t="str">
        <f>"PR3500036D"</f>
        <v>PR3500036D</v>
      </c>
      <c r="F1217" s="5">
        <v>44326</v>
      </c>
      <c r="G1217" s="5">
        <v>54789</v>
      </c>
      <c r="H1217" s="4" t="str">
        <f>"/"</f>
        <v>/</v>
      </c>
      <c r="I1217" s="4" t="str">
        <f>"/"</f>
        <v>/</v>
      </c>
    </row>
    <row r="1218" spans="1:9" x14ac:dyDescent="0.3">
      <c r="A1218" s="1" t="str">
        <f>"35"</f>
        <v>35</v>
      </c>
      <c r="B1218" s="4" t="str">
        <f>"A.D.F."</f>
        <v>A.D.F.</v>
      </c>
      <c r="C1218" s="4">
        <v>351057252</v>
      </c>
      <c r="D1218" s="3" t="s">
        <v>0</v>
      </c>
      <c r="E1218" s="2" t="str">
        <f>"0005501551"</f>
        <v>0005501551</v>
      </c>
      <c r="F1218" s="5">
        <v>44326</v>
      </c>
      <c r="G1218" s="5">
        <v>54789</v>
      </c>
      <c r="H1218" s="4" t="str">
        <f>"/"</f>
        <v>/</v>
      </c>
      <c r="I1218" s="4" t="str">
        <f>"/"</f>
        <v>/</v>
      </c>
    </row>
    <row r="1219" spans="1:9" x14ac:dyDescent="0.3">
      <c r="A1219" s="1" t="str">
        <f>"35"</f>
        <v>35</v>
      </c>
      <c r="B1219" s="4" t="str">
        <f>"AFM Recyclage ¿ Rennes"</f>
        <v>AFM Recyclage ¿ Rennes</v>
      </c>
      <c r="C1219" s="4">
        <v>383482635</v>
      </c>
      <c r="D1219" s="3" t="s">
        <v>0</v>
      </c>
      <c r="E1219" s="2" t="str">
        <f>"PR350002D"</f>
        <v>PR350002D</v>
      </c>
      <c r="F1219" s="5">
        <v>41095</v>
      </c>
      <c r="G1219" s="5">
        <v>54789</v>
      </c>
      <c r="H1219" s="4" t="str">
        <f>"/"</f>
        <v>/</v>
      </c>
      <c r="I1219" s="4" t="str">
        <f>"/"</f>
        <v>/</v>
      </c>
    </row>
    <row r="1220" spans="1:9" x14ac:dyDescent="0.3">
      <c r="A1220" s="1" t="str">
        <f>"35"</f>
        <v>35</v>
      </c>
      <c r="B1220" s="4" t="str">
        <f>"AFM Recyclage ¿ Rennes"</f>
        <v>AFM Recyclage ¿ Rennes</v>
      </c>
      <c r="C1220" s="4">
        <v>383482635</v>
      </c>
      <c r="D1220" s="3" t="s">
        <v>0</v>
      </c>
      <c r="E1220" s="2" t="str">
        <f>"0005501491"</f>
        <v>0005501491</v>
      </c>
      <c r="F1220" s="5">
        <v>35407</v>
      </c>
      <c r="G1220" s="5">
        <v>54789</v>
      </c>
      <c r="H1220" s="4" t="str">
        <f>"/"</f>
        <v>/</v>
      </c>
      <c r="I1220" s="4" t="str">
        <f>"/"</f>
        <v>/</v>
      </c>
    </row>
    <row r="1221" spans="1:9" x14ac:dyDescent="0.3">
      <c r="A1221" s="1" t="str">
        <f>"35"</f>
        <v>35</v>
      </c>
      <c r="B1221" s="4" t="str">
        <f>"AFM Recyclage ¿ Cesson-Sévigné"</f>
        <v>AFM Recyclage ¿ Cesson-Sévigné</v>
      </c>
      <c r="C1221" s="4">
        <v>383482635</v>
      </c>
      <c r="D1221" s="3" t="s">
        <v>0</v>
      </c>
      <c r="E1221" s="2" t="str">
        <f>"PR3500025D"</f>
        <v>PR3500025D</v>
      </c>
      <c r="F1221" s="5">
        <v>45115</v>
      </c>
      <c r="G1221" s="5">
        <v>54789</v>
      </c>
      <c r="H1221" s="4" t="str">
        <f>"/"</f>
        <v>/</v>
      </c>
      <c r="I1221" s="4" t="str">
        <f>"/"</f>
        <v>/</v>
      </c>
    </row>
    <row r="1222" spans="1:9" x14ac:dyDescent="0.3">
      <c r="A1222" s="1" t="str">
        <f>"35"</f>
        <v>35</v>
      </c>
      <c r="B1222" s="4" t="str">
        <f>"AFM Recyclage ¿ Cesson-Sévigné"</f>
        <v>AFM Recyclage ¿ Cesson-Sévigné</v>
      </c>
      <c r="C1222" s="4">
        <v>383482635</v>
      </c>
      <c r="D1222" s="3" t="s">
        <v>0</v>
      </c>
      <c r="E1222" s="2" t="str">
        <f>"0005504473"</f>
        <v>0005504473</v>
      </c>
      <c r="F1222" s="5">
        <v>45115</v>
      </c>
      <c r="G1222" s="5">
        <v>54789</v>
      </c>
      <c r="H1222" s="4" t="str">
        <f>"/"</f>
        <v>/</v>
      </c>
      <c r="I1222" s="4" t="str">
        <f>"/"</f>
        <v>/</v>
      </c>
    </row>
    <row r="1223" spans="1:9" x14ac:dyDescent="0.3">
      <c r="A1223" s="1" t="str">
        <f>"35"</f>
        <v>35</v>
      </c>
      <c r="B1223" s="4" t="str">
        <f>"AFM Recyclage ¿ Fougères"</f>
        <v>AFM Recyclage ¿ Fougères</v>
      </c>
      <c r="C1223" s="4">
        <v>383482635</v>
      </c>
      <c r="D1223" s="3" t="s">
        <v>0</v>
      </c>
      <c r="E1223" s="2" t="str">
        <f>"PR3500042D"</f>
        <v>PR3500042D</v>
      </c>
      <c r="F1223" s="5">
        <v>45451</v>
      </c>
      <c r="G1223" s="5">
        <v>54789</v>
      </c>
      <c r="H1223" s="4" t="str">
        <f>"/"</f>
        <v>/</v>
      </c>
      <c r="I1223" s="4" t="str">
        <f>"/"</f>
        <v>/</v>
      </c>
    </row>
    <row r="1224" spans="1:9" x14ac:dyDescent="0.3">
      <c r="A1224" s="1" t="str">
        <f>"35"</f>
        <v>35</v>
      </c>
      <c r="B1224" s="4" t="str">
        <f>"AFM Recyclage ¿ Fougères"</f>
        <v>AFM Recyclage ¿ Fougères</v>
      </c>
      <c r="C1224" s="4">
        <v>383482635</v>
      </c>
      <c r="D1224" s="3" t="s">
        <v>0</v>
      </c>
      <c r="E1224" s="2" t="str">
        <f>"0005501406"</f>
        <v>0005501406</v>
      </c>
      <c r="F1224" s="5">
        <v>45451</v>
      </c>
      <c r="G1224" s="5">
        <v>54789</v>
      </c>
      <c r="H1224" s="4" t="str">
        <f>"/"</f>
        <v>/</v>
      </c>
      <c r="I1224" s="4" t="str">
        <f>"/"</f>
        <v>/</v>
      </c>
    </row>
    <row r="1225" spans="1:9" x14ac:dyDescent="0.3">
      <c r="A1225" s="1" t="str">
        <f>"35"</f>
        <v>35</v>
      </c>
      <c r="B1225" s="4" t="str">
        <f>"GUY PRADAT RECYCLAGE"</f>
        <v>GUY PRADAT RECYCLAGE</v>
      </c>
      <c r="C1225" s="4">
        <v>395393440</v>
      </c>
      <c r="D1225" s="3" t="s">
        <v>0</v>
      </c>
      <c r="E1225" s="2" t="str">
        <f>"PR3500016D"</f>
        <v>PR3500016D</v>
      </c>
      <c r="F1225" s="5">
        <v>39146</v>
      </c>
      <c r="G1225" s="5">
        <v>54789</v>
      </c>
      <c r="H1225" s="4" t="str">
        <f>"/"</f>
        <v>/</v>
      </c>
      <c r="I1225" s="4" t="str">
        <f>"/"</f>
        <v>/</v>
      </c>
    </row>
    <row r="1226" spans="1:9" x14ac:dyDescent="0.3">
      <c r="A1226" s="1" t="str">
        <f>"35"</f>
        <v>35</v>
      </c>
      <c r="B1226" s="4" t="str">
        <f>"GUY PRADAT RECYCLAGE"</f>
        <v>GUY PRADAT RECYCLAGE</v>
      </c>
      <c r="C1226" s="4">
        <v>395393440</v>
      </c>
      <c r="D1226" s="3" t="s">
        <v>0</v>
      </c>
      <c r="E1226" s="2" t="str">
        <f>"0005501407"</f>
        <v>0005501407</v>
      </c>
      <c r="F1226" s="5">
        <v>38677</v>
      </c>
      <c r="G1226" s="5">
        <v>54789</v>
      </c>
      <c r="H1226" s="4" t="str">
        <f>"/"</f>
        <v>/</v>
      </c>
      <c r="I1226" s="4" t="str">
        <f>"/"</f>
        <v>/</v>
      </c>
    </row>
    <row r="1227" spans="1:9" x14ac:dyDescent="0.3">
      <c r="A1227" s="1" t="str">
        <f>"35"</f>
        <v>35</v>
      </c>
      <c r="B1227" s="4" t="str">
        <f>"GARAGE BOURDAIS"</f>
        <v>GARAGE BOURDAIS</v>
      </c>
      <c r="C1227" s="4">
        <v>397726308</v>
      </c>
      <c r="D1227" s="3" t="s">
        <v>0</v>
      </c>
      <c r="E1227" s="2" t="str">
        <f>"PR3500020D"</f>
        <v>PR3500020D</v>
      </c>
      <c r="F1227" s="5">
        <v>39731</v>
      </c>
      <c r="G1227" s="5">
        <v>54789</v>
      </c>
      <c r="H1227" s="4" t="str">
        <f>"/"</f>
        <v>/</v>
      </c>
      <c r="I1227" s="4" t="str">
        <f>"/"</f>
        <v>/</v>
      </c>
    </row>
    <row r="1228" spans="1:9" x14ac:dyDescent="0.3">
      <c r="A1228" s="1" t="str">
        <f>"35"</f>
        <v>35</v>
      </c>
      <c r="B1228" s="4" t="str">
        <f>"GARAGE BOURDAIS"</f>
        <v>GARAGE BOURDAIS</v>
      </c>
      <c r="C1228" s="4">
        <v>397726308</v>
      </c>
      <c r="D1228" s="3" t="s">
        <v>0</v>
      </c>
      <c r="E1228" s="2" t="str">
        <f>"0005501360"</f>
        <v>0005501360</v>
      </c>
      <c r="F1228" s="5">
        <v>33519</v>
      </c>
      <c r="G1228" s="5">
        <v>54789</v>
      </c>
      <c r="H1228" s="4" t="str">
        <f>"/"</f>
        <v>/</v>
      </c>
      <c r="I1228" s="4" t="str">
        <f>"/"</f>
        <v>/</v>
      </c>
    </row>
    <row r="1229" spans="1:9" x14ac:dyDescent="0.3">
      <c r="A1229" s="1" t="str">
        <f>"35"</f>
        <v>35</v>
      </c>
      <c r="B1229" s="4" t="str">
        <f>"ESPACE POIDS LOURDS"</f>
        <v>ESPACE POIDS LOURDS</v>
      </c>
      <c r="C1229" s="4">
        <v>401732706</v>
      </c>
      <c r="D1229" s="3" t="s">
        <v>0</v>
      </c>
      <c r="E1229" s="2" t="str">
        <f>"PR3500043D"</f>
        <v>PR3500043D</v>
      </c>
      <c r="F1229" s="5">
        <v>45645</v>
      </c>
      <c r="G1229" s="5">
        <v>54789</v>
      </c>
      <c r="H1229" s="4" t="str">
        <f>"/"</f>
        <v>/</v>
      </c>
      <c r="I1229" s="4" t="str">
        <f>"/"</f>
        <v>/</v>
      </c>
    </row>
    <row r="1230" spans="1:9" x14ac:dyDescent="0.3">
      <c r="A1230" s="1" t="str">
        <f>"35"</f>
        <v>35</v>
      </c>
      <c r="B1230" s="4" t="str">
        <f>"ESPACE POIDS LOURDS"</f>
        <v>ESPACE POIDS LOURDS</v>
      </c>
      <c r="C1230" s="4">
        <v>401732706</v>
      </c>
      <c r="D1230" s="3" t="s">
        <v>0</v>
      </c>
      <c r="E1230" s="2" t="str">
        <f>"0100177205"</f>
        <v>0100177205</v>
      </c>
      <c r="F1230" s="5">
        <v>45645</v>
      </c>
      <c r="G1230" s="5">
        <v>54789</v>
      </c>
      <c r="H1230" s="4" t="str">
        <f>"/"</f>
        <v>/</v>
      </c>
      <c r="I1230" s="4" t="str">
        <f>"/"</f>
        <v>/</v>
      </c>
    </row>
    <row r="1231" spans="1:9" x14ac:dyDescent="0.3">
      <c r="A1231" s="1" t="str">
        <f>"35"</f>
        <v>35</v>
      </c>
      <c r="B1231" s="4" t="str">
        <f>"PASSENAUD RECYCLAGE"</f>
        <v>PASSENAUD RECYCLAGE</v>
      </c>
      <c r="C1231" s="4">
        <v>412242315</v>
      </c>
      <c r="D1231" s="3" t="s">
        <v>0</v>
      </c>
      <c r="E1231" s="2" t="str">
        <f>"PR3500010D"</f>
        <v>PR3500010D</v>
      </c>
      <c r="F1231" s="5">
        <v>39000</v>
      </c>
      <c r="G1231" s="5">
        <v>54789</v>
      </c>
      <c r="H1231" s="4" t="str">
        <f>"/"</f>
        <v>/</v>
      </c>
      <c r="I1231" s="4" t="str">
        <f>"/"</f>
        <v>/</v>
      </c>
    </row>
    <row r="1232" spans="1:9" x14ac:dyDescent="0.3">
      <c r="A1232" s="1" t="str">
        <f>"35"</f>
        <v>35</v>
      </c>
      <c r="B1232" s="4" t="str">
        <f>"PASSENAUD RECYCLAGE"</f>
        <v>PASSENAUD RECYCLAGE</v>
      </c>
      <c r="C1232" s="4">
        <v>412242315</v>
      </c>
      <c r="D1232" s="3" t="s">
        <v>0</v>
      </c>
      <c r="E1232" s="2" t="str">
        <f>"0005501570"</f>
        <v>0005501570</v>
      </c>
      <c r="F1232" s="5">
        <v>35703</v>
      </c>
      <c r="G1232" s="5">
        <v>54789</v>
      </c>
      <c r="H1232" s="4" t="str">
        <f>"/"</f>
        <v>/</v>
      </c>
      <c r="I1232" s="4" t="str">
        <f>"/"</f>
        <v>/</v>
      </c>
    </row>
    <row r="1233" spans="1:9" x14ac:dyDescent="0.3">
      <c r="A1233" s="1" t="str">
        <f>"35"</f>
        <v>35</v>
      </c>
      <c r="B1233" s="4" t="str">
        <f>"AMMERSCHMITT Jean-Michel"</f>
        <v>AMMERSCHMITT Jean-Michel</v>
      </c>
      <c r="C1233" s="4">
        <v>430120238</v>
      </c>
      <c r="D1233" s="3" t="s">
        <v>0</v>
      </c>
      <c r="E1233" s="2" t="str">
        <f>"PR3500027D"</f>
        <v>PR3500027D</v>
      </c>
      <c r="F1233" s="5">
        <v>44007</v>
      </c>
      <c r="G1233" s="5">
        <v>54789</v>
      </c>
      <c r="H1233" s="4" t="str">
        <f>"Jean-Michel"</f>
        <v>Jean-Michel</v>
      </c>
      <c r="I1233" s="4" t="str">
        <f>"AMMERSCHMITT"</f>
        <v>AMMERSCHMITT</v>
      </c>
    </row>
    <row r="1234" spans="1:9" x14ac:dyDescent="0.3">
      <c r="A1234" s="1" t="str">
        <f>"35"</f>
        <v>35</v>
      </c>
      <c r="B1234" s="4" t="str">
        <f>"AMMERSCHMITT Jean-Michel"</f>
        <v>AMMERSCHMITT Jean-Michel</v>
      </c>
      <c r="C1234" s="4">
        <v>430120238</v>
      </c>
      <c r="D1234" s="3" t="s">
        <v>0</v>
      </c>
      <c r="E1234" s="2" t="str">
        <f>"0005515037"</f>
        <v>0005515037</v>
      </c>
      <c r="F1234" s="5">
        <v>41815</v>
      </c>
      <c r="G1234" s="5">
        <v>54789</v>
      </c>
      <c r="H1234" s="4" t="str">
        <f>"Jean-Michel"</f>
        <v>Jean-Michel</v>
      </c>
      <c r="I1234" s="4" t="str">
        <f>"AMMERSCHMITT"</f>
        <v>AMMERSCHMITT</v>
      </c>
    </row>
    <row r="1235" spans="1:9" x14ac:dyDescent="0.3">
      <c r="A1235" s="1" t="str">
        <f>"35"</f>
        <v>35</v>
      </c>
      <c r="B1235" s="4" t="str">
        <f>"AUTO DEMOLITIONS VITREENNES"</f>
        <v>AUTO DEMOLITIONS VITREENNES</v>
      </c>
      <c r="C1235" s="4">
        <v>430399261</v>
      </c>
      <c r="D1235" s="3" t="s">
        <v>0</v>
      </c>
      <c r="E1235" s="2" t="str">
        <f>"PR3500009D"</f>
        <v>PR3500009D</v>
      </c>
      <c r="F1235" s="5">
        <v>39000</v>
      </c>
      <c r="G1235" s="5">
        <v>54789</v>
      </c>
      <c r="H1235" s="4" t="str">
        <f>"/"</f>
        <v>/</v>
      </c>
      <c r="I1235" s="4" t="str">
        <f>"/"</f>
        <v>/</v>
      </c>
    </row>
    <row r="1236" spans="1:9" x14ac:dyDescent="0.3">
      <c r="A1236" s="1" t="str">
        <f>"35"</f>
        <v>35</v>
      </c>
      <c r="B1236" s="4" t="str">
        <f>"AUTO DEMOLITIONS VITREENNES"</f>
        <v>AUTO DEMOLITIONS VITREENNES</v>
      </c>
      <c r="C1236" s="4">
        <v>430399261</v>
      </c>
      <c r="D1236" s="3" t="s">
        <v>0</v>
      </c>
      <c r="E1236" s="2" t="str">
        <f>"0005506992"</f>
        <v>0005506992</v>
      </c>
      <c r="F1236" s="5">
        <v>38134</v>
      </c>
      <c r="G1236" s="5">
        <v>54789</v>
      </c>
      <c r="H1236" s="4" t="str">
        <f>"/"</f>
        <v>/</v>
      </c>
      <c r="I1236" s="4" t="str">
        <f>"/"</f>
        <v>/</v>
      </c>
    </row>
    <row r="1237" spans="1:9" x14ac:dyDescent="0.3">
      <c r="A1237" s="1" t="str">
        <f>"35"</f>
        <v>35</v>
      </c>
      <c r="B1237" s="4" t="str">
        <f>"AUTOREC"</f>
        <v>AUTOREC</v>
      </c>
      <c r="C1237" s="4">
        <v>444113096</v>
      </c>
      <c r="D1237" s="3" t="s">
        <v>0</v>
      </c>
      <c r="E1237" s="2" t="str">
        <f>"PR3500011D"</f>
        <v>PR3500011D</v>
      </c>
      <c r="F1237" s="5">
        <v>39013</v>
      </c>
      <c r="G1237" s="5">
        <v>54789</v>
      </c>
      <c r="H1237" s="4" t="str">
        <f>"/"</f>
        <v>/</v>
      </c>
      <c r="I1237" s="4" t="str">
        <f>"/"</f>
        <v>/</v>
      </c>
    </row>
    <row r="1238" spans="1:9" x14ac:dyDescent="0.3">
      <c r="A1238" s="1" t="str">
        <f>"35"</f>
        <v>35</v>
      </c>
      <c r="B1238" s="4" t="str">
        <f>"AUTOREC"</f>
        <v>AUTOREC</v>
      </c>
      <c r="C1238" s="4">
        <v>444113096</v>
      </c>
      <c r="D1238" s="3" t="s">
        <v>0</v>
      </c>
      <c r="E1238" s="2" t="str">
        <f>"0005501442"</f>
        <v>0005501442</v>
      </c>
      <c r="F1238" s="5">
        <v>35362</v>
      </c>
      <c r="G1238" s="5">
        <v>54789</v>
      </c>
      <c r="H1238" s="4" t="str">
        <f>"/"</f>
        <v>/</v>
      </c>
      <c r="I1238" s="4" t="str">
        <f>"/"</f>
        <v>/</v>
      </c>
    </row>
    <row r="1239" spans="1:9" x14ac:dyDescent="0.3">
      <c r="A1239" s="1" t="str">
        <f>"35"</f>
        <v>35</v>
      </c>
      <c r="B1239" s="4" t="str">
        <f>"AUTO PIECES 35"</f>
        <v>AUTO PIECES 35</v>
      </c>
      <c r="C1239" s="4">
        <v>449376276</v>
      </c>
      <c r="D1239" s="3" t="s">
        <v>0</v>
      </c>
      <c r="E1239" s="2" t="str">
        <f>"PR3500030D"</f>
        <v>PR3500030D</v>
      </c>
      <c r="F1239" s="5">
        <v>44056</v>
      </c>
      <c r="G1239" s="5">
        <v>54789</v>
      </c>
      <c r="H1239" s="4" t="str">
        <f>"/"</f>
        <v>/</v>
      </c>
      <c r="I1239" s="4" t="str">
        <f>"/"</f>
        <v>/</v>
      </c>
    </row>
    <row r="1240" spans="1:9" x14ac:dyDescent="0.3">
      <c r="A1240" s="1" t="str">
        <f>"35"</f>
        <v>35</v>
      </c>
      <c r="B1240" s="4" t="str">
        <f>"AUTO PIECES 35"</f>
        <v>AUTO PIECES 35</v>
      </c>
      <c r="C1240" s="4">
        <v>449376276</v>
      </c>
      <c r="D1240" s="3" t="s">
        <v>0</v>
      </c>
      <c r="E1240" s="2" t="str">
        <f>"0005501455"</f>
        <v>0005501455</v>
      </c>
      <c r="F1240" s="5">
        <v>33122</v>
      </c>
      <c r="G1240" s="5">
        <v>54789</v>
      </c>
      <c r="H1240" s="4" t="str">
        <f>"/"</f>
        <v>/</v>
      </c>
      <c r="I1240" s="4" t="str">
        <f>"/"</f>
        <v>/</v>
      </c>
    </row>
    <row r="1241" spans="1:9" x14ac:dyDescent="0.3">
      <c r="A1241" s="1" t="str">
        <f>"35"</f>
        <v>35</v>
      </c>
      <c r="B1241" s="4" t="str">
        <f>"PRESTA'CASSE"</f>
        <v>PRESTA'CASSE</v>
      </c>
      <c r="C1241" s="4">
        <v>480680743</v>
      </c>
      <c r="D1241" s="3" t="s">
        <v>0</v>
      </c>
      <c r="E1241" s="2" t="str">
        <f>"PR3500023D"</f>
        <v>PR3500023D</v>
      </c>
      <c r="F1241" s="5">
        <v>40284</v>
      </c>
      <c r="G1241" s="5">
        <v>54789</v>
      </c>
      <c r="H1241" s="4" t="str">
        <f>"/"</f>
        <v>/</v>
      </c>
      <c r="I1241" s="4" t="str">
        <f>"/"</f>
        <v>/</v>
      </c>
    </row>
    <row r="1242" spans="1:9" x14ac:dyDescent="0.3">
      <c r="A1242" s="1" t="str">
        <f>"35"</f>
        <v>35</v>
      </c>
      <c r="B1242" s="4" t="str">
        <f>"PRESTA'CASSE"</f>
        <v>PRESTA'CASSE</v>
      </c>
      <c r="C1242" s="4">
        <v>480680743</v>
      </c>
      <c r="D1242" s="3" t="s">
        <v>0</v>
      </c>
      <c r="E1242" s="2" t="str">
        <f>"0005503602"</f>
        <v>0005503602</v>
      </c>
      <c r="F1242" s="5">
        <v>39969</v>
      </c>
      <c r="G1242" s="5">
        <v>54789</v>
      </c>
      <c r="H1242" s="4" t="str">
        <f>"/"</f>
        <v>/</v>
      </c>
      <c r="I1242" s="4" t="str">
        <f>"/"</f>
        <v>/</v>
      </c>
    </row>
    <row r="1243" spans="1:9" x14ac:dyDescent="0.3">
      <c r="A1243" s="1" t="str">
        <f>"35"</f>
        <v>35</v>
      </c>
      <c r="B1243" s="4" t="str">
        <f>"PRESTA'CASSE ¿ Guichen"</f>
        <v>PRESTA'CASSE ¿ Guichen</v>
      </c>
      <c r="C1243" s="4">
        <v>480680743</v>
      </c>
      <c r="D1243" s="3" t="s">
        <v>0</v>
      </c>
      <c r="E1243" s="2" t="str">
        <f>"PR3500029D"</f>
        <v>PR3500029D</v>
      </c>
      <c r="F1243" s="5">
        <v>43419</v>
      </c>
      <c r="G1243" s="5">
        <v>54789</v>
      </c>
      <c r="H1243" s="4" t="str">
        <f>"/"</f>
        <v>/</v>
      </c>
      <c r="I1243" s="4" t="str">
        <f>"/"</f>
        <v>/</v>
      </c>
    </row>
    <row r="1244" spans="1:9" x14ac:dyDescent="0.3">
      <c r="A1244" s="1" t="str">
        <f>"35"</f>
        <v>35</v>
      </c>
      <c r="B1244" s="4" t="str">
        <f>"PRESTA'CASSE ¿ Guichen"</f>
        <v>PRESTA'CASSE ¿ Guichen</v>
      </c>
      <c r="C1244" s="4">
        <v>480680743</v>
      </c>
      <c r="D1244" s="3" t="s">
        <v>0</v>
      </c>
      <c r="E1244" s="2" t="str">
        <f>"0005520933"</f>
        <v>0005520933</v>
      </c>
      <c r="F1244" s="5">
        <v>43419</v>
      </c>
      <c r="G1244" s="5">
        <v>54789</v>
      </c>
      <c r="H1244" s="4" t="str">
        <f>"/"</f>
        <v>/</v>
      </c>
      <c r="I1244" s="4" t="str">
        <f>"/"</f>
        <v>/</v>
      </c>
    </row>
    <row r="1245" spans="1:9" x14ac:dyDescent="0.3">
      <c r="A1245" s="1" t="str">
        <f>"35"</f>
        <v>35</v>
      </c>
      <c r="B1245" s="4" t="str">
        <f>"LE HIL AUTOMOBILES"</f>
        <v>LE HIL AUTOMOBILES</v>
      </c>
      <c r="C1245" s="4">
        <v>483535902</v>
      </c>
      <c r="D1245" s="3" t="s">
        <v>0</v>
      </c>
      <c r="E1245" s="2" t="str">
        <f>"PR3500002D"</f>
        <v>PR3500002D</v>
      </c>
      <c r="F1245" s="5">
        <v>38861</v>
      </c>
      <c r="G1245" s="5">
        <v>54789</v>
      </c>
      <c r="H1245" s="4" t="str">
        <f>"/"</f>
        <v>/</v>
      </c>
      <c r="I1245" s="4" t="str">
        <f>"/"</f>
        <v>/</v>
      </c>
    </row>
    <row r="1246" spans="1:9" x14ac:dyDescent="0.3">
      <c r="A1246" s="1" t="str">
        <f>"35"</f>
        <v>35</v>
      </c>
      <c r="B1246" s="4" t="str">
        <f>"LE HIL AUTOMOBILES"</f>
        <v>LE HIL AUTOMOBILES</v>
      </c>
      <c r="C1246" s="4">
        <v>483535902</v>
      </c>
      <c r="D1246" s="3" t="s">
        <v>0</v>
      </c>
      <c r="E1246" s="2" t="str">
        <f>"0005503493"</f>
        <v>0005503493</v>
      </c>
      <c r="F1246" s="5">
        <v>38684</v>
      </c>
      <c r="G1246" s="5">
        <v>54789</v>
      </c>
      <c r="H1246" s="4" t="str">
        <f>"/"</f>
        <v>/</v>
      </c>
      <c r="I1246" s="4" t="str">
        <f>"/"</f>
        <v>/</v>
      </c>
    </row>
    <row r="1247" spans="1:9" x14ac:dyDescent="0.3">
      <c r="A1247" s="1" t="str">
        <f>"35"</f>
        <v>35</v>
      </c>
      <c r="B1247" s="4" t="str">
        <f>"EXPORT CENTER"</f>
        <v>EXPORT CENTER</v>
      </c>
      <c r="C1247" s="4">
        <v>508963949</v>
      </c>
      <c r="D1247" s="3" t="s">
        <v>0</v>
      </c>
      <c r="E1247" s="2" t="str">
        <f>"PR3500035D"</f>
        <v>PR3500035D</v>
      </c>
      <c r="F1247" s="5">
        <v>44154</v>
      </c>
      <c r="G1247" s="5">
        <v>54789</v>
      </c>
      <c r="H1247" s="4" t="str">
        <f>"/"</f>
        <v>/</v>
      </c>
      <c r="I1247" s="4" t="str">
        <f>"/"</f>
        <v>/</v>
      </c>
    </row>
    <row r="1248" spans="1:9" x14ac:dyDescent="0.3">
      <c r="A1248" s="1" t="str">
        <f>"35"</f>
        <v>35</v>
      </c>
      <c r="B1248" s="4" t="str">
        <f>"EXPORT CENTER"</f>
        <v>EXPORT CENTER</v>
      </c>
      <c r="C1248" s="4">
        <v>508963949</v>
      </c>
      <c r="D1248" s="3" t="s">
        <v>0</v>
      </c>
      <c r="E1248" s="2" t="str">
        <f>"0005521861"</f>
        <v>0005521861</v>
      </c>
      <c r="F1248" s="5">
        <v>44154</v>
      </c>
      <c r="G1248" s="5">
        <v>54789</v>
      </c>
      <c r="H1248" s="4" t="str">
        <f>"/"</f>
        <v>/</v>
      </c>
      <c r="I1248" s="4" t="str">
        <f>"/"</f>
        <v>/</v>
      </c>
    </row>
    <row r="1249" spans="1:9" x14ac:dyDescent="0.3">
      <c r="A1249" s="1" t="str">
        <f>"35"</f>
        <v>35</v>
      </c>
      <c r="B1249" s="4" t="str">
        <f>"L.G. SERVICES ¿ Guipry-Messac"</f>
        <v>L.G. SERVICES ¿ Guipry-Messac</v>
      </c>
      <c r="C1249" s="4">
        <v>511099897</v>
      </c>
      <c r="D1249" s="3" t="s">
        <v>0</v>
      </c>
      <c r="E1249" s="2" t="str">
        <f>"PR3500033D"</f>
        <v>PR3500033D</v>
      </c>
      <c r="F1249" s="5">
        <v>43649</v>
      </c>
      <c r="G1249" s="5">
        <v>54789</v>
      </c>
      <c r="H1249" s="4" t="str">
        <f>"/"</f>
        <v>/</v>
      </c>
      <c r="I1249" s="4" t="str">
        <f>"/"</f>
        <v>/</v>
      </c>
    </row>
    <row r="1250" spans="1:9" x14ac:dyDescent="0.3">
      <c r="A1250" s="1" t="str">
        <f>"35"</f>
        <v>35</v>
      </c>
      <c r="B1250" s="4" t="str">
        <f>"L.G. SERVICES ¿ Guipry-Messac"</f>
        <v>L.G. SERVICES ¿ Guipry-Messac</v>
      </c>
      <c r="C1250" s="4">
        <v>511099897</v>
      </c>
      <c r="D1250" s="3" t="s">
        <v>0</v>
      </c>
      <c r="E1250" s="2" t="str">
        <f>"0005521497"</f>
        <v>0005521497</v>
      </c>
      <c r="F1250" s="5">
        <v>43649</v>
      </c>
      <c r="G1250" s="5">
        <v>54789</v>
      </c>
      <c r="H1250" s="4" t="str">
        <f>"/"</f>
        <v>/</v>
      </c>
      <c r="I1250" s="4" t="str">
        <f>"/"</f>
        <v>/</v>
      </c>
    </row>
    <row r="1251" spans="1:9" x14ac:dyDescent="0.3">
      <c r="A1251" s="1" t="str">
        <f>"35"</f>
        <v>35</v>
      </c>
      <c r="B1251" s="4" t="str">
        <f>"ATLANTIC RECYCL'AUTO"</f>
        <v>ATLANTIC RECYCL'AUTO</v>
      </c>
      <c r="C1251" s="4">
        <v>523974756</v>
      </c>
      <c r="D1251" s="3" t="s">
        <v>0</v>
      </c>
      <c r="E1251" s="2" t="str">
        <f>"PR3500039D"</f>
        <v>PR3500039D</v>
      </c>
      <c r="F1251" s="5">
        <v>44488</v>
      </c>
      <c r="G1251" s="5">
        <v>54789</v>
      </c>
      <c r="H1251" s="4" t="str">
        <f>"/"</f>
        <v>/</v>
      </c>
      <c r="I1251" s="4" t="str">
        <f>"/"</f>
        <v>/</v>
      </c>
    </row>
    <row r="1252" spans="1:9" x14ac:dyDescent="0.3">
      <c r="A1252" s="1" t="str">
        <f>"35"</f>
        <v>35</v>
      </c>
      <c r="B1252" s="4" t="str">
        <f>"ATLANTIC RECYCL'AUTO"</f>
        <v>ATLANTIC RECYCL'AUTO</v>
      </c>
      <c r="C1252" s="4">
        <v>523974756</v>
      </c>
      <c r="D1252" s="3" t="s">
        <v>0</v>
      </c>
      <c r="E1252" s="2" t="str">
        <f>"0005501519"</f>
        <v>0005501519</v>
      </c>
      <c r="F1252" s="5">
        <v>44285</v>
      </c>
      <c r="G1252" s="5">
        <v>54789</v>
      </c>
      <c r="H1252" s="4" t="str">
        <f>"/"</f>
        <v>/</v>
      </c>
      <c r="I1252" s="4" t="str">
        <f>"/"</f>
        <v>/</v>
      </c>
    </row>
    <row r="1253" spans="1:9" x14ac:dyDescent="0.3">
      <c r="A1253" s="1" t="str">
        <f>"35"</f>
        <v>35</v>
      </c>
      <c r="B1253" s="4" t="str">
        <f>"ROMI BRETAGNE ¿ Saint-Malo"</f>
        <v>ROMI BRETAGNE ¿ Saint-Malo</v>
      </c>
      <c r="C1253" s="4">
        <v>639200484</v>
      </c>
      <c r="D1253" s="3" t="s">
        <v>0</v>
      </c>
      <c r="E1253" s="2" t="str">
        <f>"PR3500018D"</f>
        <v>PR3500018D</v>
      </c>
      <c r="F1253" s="5">
        <v>43843</v>
      </c>
      <c r="G1253" s="5">
        <v>54789</v>
      </c>
      <c r="H1253" s="4" t="str">
        <f>"/"</f>
        <v>/</v>
      </c>
      <c r="I1253" s="4" t="str">
        <f>"/"</f>
        <v>/</v>
      </c>
    </row>
    <row r="1254" spans="1:9" x14ac:dyDescent="0.3">
      <c r="A1254" s="1" t="str">
        <f>"35"</f>
        <v>35</v>
      </c>
      <c r="B1254" s="4" t="str">
        <f>"ROMI BRETAGNE ¿ Saint-Malo"</f>
        <v>ROMI BRETAGNE ¿ Saint-Malo</v>
      </c>
      <c r="C1254" s="4">
        <v>639200484</v>
      </c>
      <c r="D1254" s="3" t="s">
        <v>0</v>
      </c>
      <c r="E1254" s="2" t="str">
        <f>"0005503454"</f>
        <v>0005503454</v>
      </c>
      <c r="F1254" s="5">
        <v>36228</v>
      </c>
      <c r="G1254" s="5">
        <v>54789</v>
      </c>
      <c r="H1254" s="4" t="str">
        <f>"/"</f>
        <v>/</v>
      </c>
      <c r="I1254" s="4" t="str">
        <f>"/"</f>
        <v>/</v>
      </c>
    </row>
    <row r="1255" spans="1:9" x14ac:dyDescent="0.3">
      <c r="A1255" s="1" t="str">
        <f>"35"</f>
        <v>35</v>
      </c>
      <c r="B1255" s="4" t="str">
        <f>"DEPANN'AUTO"</f>
        <v>DEPANN'AUTO</v>
      </c>
      <c r="C1255" s="4">
        <v>749894127</v>
      </c>
      <c r="D1255" s="3" t="s">
        <v>0</v>
      </c>
      <c r="E1255" s="2" t="str">
        <f>"PR3500013D"</f>
        <v>PR3500013D</v>
      </c>
      <c r="F1255" s="5">
        <v>39052</v>
      </c>
      <c r="G1255" s="5">
        <v>54789</v>
      </c>
      <c r="H1255" s="4" t="str">
        <f>"/"</f>
        <v>/</v>
      </c>
      <c r="I1255" s="4" t="str">
        <f>"/"</f>
        <v>/</v>
      </c>
    </row>
    <row r="1256" spans="1:9" x14ac:dyDescent="0.3">
      <c r="A1256" s="1" t="str">
        <f>"35"</f>
        <v>35</v>
      </c>
      <c r="B1256" s="4" t="str">
        <f>"DEPANN'AUTO"</f>
        <v>DEPANN'AUTO</v>
      </c>
      <c r="C1256" s="4">
        <v>749894127</v>
      </c>
      <c r="D1256" s="3" t="s">
        <v>0</v>
      </c>
      <c r="E1256" s="2" t="str">
        <f>"0005515469"</f>
        <v>0005515469</v>
      </c>
      <c r="F1256" s="5">
        <v>38316</v>
      </c>
      <c r="G1256" s="5">
        <v>54789</v>
      </c>
      <c r="H1256" s="4" t="str">
        <f>"/"</f>
        <v>/</v>
      </c>
      <c r="I1256" s="4" t="str">
        <f>"/"</f>
        <v>/</v>
      </c>
    </row>
    <row r="1257" spans="1:9" x14ac:dyDescent="0.3">
      <c r="A1257" s="1" t="str">
        <f>"35"</f>
        <v>35</v>
      </c>
      <c r="B1257" s="4" t="str">
        <f>"JOUET ALAIN"</f>
        <v>JOUET ALAIN</v>
      </c>
      <c r="C1257" s="4">
        <v>817523004</v>
      </c>
      <c r="D1257" s="3" t="s">
        <v>0</v>
      </c>
      <c r="E1257" s="2" t="str">
        <f>"PR3500037D"</f>
        <v>PR3500037D</v>
      </c>
      <c r="F1257" s="5">
        <v>44426</v>
      </c>
      <c r="G1257" s="5">
        <v>54789</v>
      </c>
      <c r="H1257" s="4" t="str">
        <f>"JOUET"</f>
        <v>JOUET</v>
      </c>
      <c r="I1257" s="4" t="str">
        <f>"ALAIN"</f>
        <v>ALAIN</v>
      </c>
    </row>
    <row r="1258" spans="1:9" x14ac:dyDescent="0.3">
      <c r="A1258" s="1" t="str">
        <f>"35"</f>
        <v>35</v>
      </c>
      <c r="B1258" s="4" t="str">
        <f>"JOUET ALAIN"</f>
        <v>JOUET ALAIN</v>
      </c>
      <c r="C1258" s="4">
        <v>817523004</v>
      </c>
      <c r="D1258" s="3" t="s">
        <v>0</v>
      </c>
      <c r="E1258" s="2" t="str">
        <f>"0005503517"</f>
        <v>0005503517</v>
      </c>
      <c r="F1258" s="5">
        <v>41632</v>
      </c>
      <c r="G1258" s="5">
        <v>54789</v>
      </c>
      <c r="H1258" s="4" t="str">
        <f>"JOUET"</f>
        <v>JOUET</v>
      </c>
      <c r="I1258" s="4" t="str">
        <f>"ALAIN"</f>
        <v>ALAIN</v>
      </c>
    </row>
    <row r="1259" spans="1:9" x14ac:dyDescent="0.3">
      <c r="A1259" s="1" t="str">
        <f>"35"</f>
        <v>35</v>
      </c>
      <c r="B1259" s="4" t="str">
        <f>"SOCIETE NOUVELLE J. LETOURNEL"</f>
        <v>SOCIETE NOUVELLE J. LETOURNEL</v>
      </c>
      <c r="C1259" s="4">
        <v>821649126</v>
      </c>
      <c r="D1259" s="3" t="s">
        <v>0</v>
      </c>
      <c r="E1259" s="2" t="str">
        <f>"PR3500028D"</f>
        <v>PR3500028D</v>
      </c>
      <c r="F1259" s="5">
        <v>42733</v>
      </c>
      <c r="G1259" s="5">
        <v>54789</v>
      </c>
      <c r="H1259" s="4" t="str">
        <f>"/"</f>
        <v>/</v>
      </c>
      <c r="I1259" s="4" t="str">
        <f>"/"</f>
        <v>/</v>
      </c>
    </row>
    <row r="1260" spans="1:9" x14ac:dyDescent="0.3">
      <c r="A1260" s="1" t="str">
        <f>"35"</f>
        <v>35</v>
      </c>
      <c r="B1260" s="4" t="str">
        <f>"SOCIETE NOUVELLE J. LETOURNEL"</f>
        <v>SOCIETE NOUVELLE J. LETOURNEL</v>
      </c>
      <c r="C1260" s="4">
        <v>821649126</v>
      </c>
      <c r="D1260" s="3" t="s">
        <v>0</v>
      </c>
      <c r="E1260" s="2" t="str">
        <f>"0005503453"</f>
        <v>0005503453</v>
      </c>
      <c r="F1260" s="5">
        <v>42733</v>
      </c>
      <c r="G1260" s="5">
        <v>54789</v>
      </c>
      <c r="H1260" s="4" t="str">
        <f>"/"</f>
        <v>/</v>
      </c>
      <c r="I1260" s="4" t="str">
        <f>"/"</f>
        <v>/</v>
      </c>
    </row>
    <row r="1261" spans="1:9" x14ac:dyDescent="0.3">
      <c r="A1261" s="1" t="str">
        <f>"35"</f>
        <v>35</v>
      </c>
      <c r="B1261" s="4" t="str">
        <f>"C.R.A. (Centre de Récupération Automobile)"</f>
        <v>C.R.A. (Centre de Récupération Automobile)</v>
      </c>
      <c r="C1261" s="4">
        <v>838123792</v>
      </c>
      <c r="D1261" s="3" t="s">
        <v>0</v>
      </c>
      <c r="E1261" s="2" t="str">
        <f>"PR3500032D"</f>
        <v>PR3500032D</v>
      </c>
      <c r="F1261" s="5">
        <v>43544</v>
      </c>
      <c r="G1261" s="5">
        <v>54789</v>
      </c>
      <c r="H1261" s="4" t="str">
        <f>"/"</f>
        <v>/</v>
      </c>
      <c r="I1261" s="4" t="str">
        <f>"/"</f>
        <v>/</v>
      </c>
    </row>
    <row r="1262" spans="1:9" x14ac:dyDescent="0.3">
      <c r="A1262" s="1" t="str">
        <f>"35"</f>
        <v>35</v>
      </c>
      <c r="B1262" s="4" t="str">
        <f>"C.R.A. (Centre de Récupération Automobile)"</f>
        <v>C.R.A. (Centre de Récupération Automobile)</v>
      </c>
      <c r="C1262" s="4">
        <v>838123792</v>
      </c>
      <c r="D1262" s="3" t="s">
        <v>0</v>
      </c>
      <c r="E1262" s="2" t="str">
        <f>"0005503463"</f>
        <v>0005503463</v>
      </c>
      <c r="F1262" s="5">
        <v>43235</v>
      </c>
      <c r="G1262" s="5">
        <v>54789</v>
      </c>
      <c r="H1262" s="4" t="str">
        <f>"/"</f>
        <v>/</v>
      </c>
      <c r="I1262" s="4" t="str">
        <f>"/"</f>
        <v>/</v>
      </c>
    </row>
    <row r="1263" spans="1:9" x14ac:dyDescent="0.3">
      <c r="A1263" s="1" t="str">
        <f>"35"</f>
        <v>35</v>
      </c>
      <c r="B1263" s="4" t="str">
        <f>"AUTO LIFE 35"</f>
        <v>AUTO LIFE 35</v>
      </c>
      <c r="C1263" s="4">
        <v>893934827</v>
      </c>
      <c r="D1263" s="3" t="s">
        <v>0</v>
      </c>
      <c r="E1263" s="2" t="str">
        <f>"PR3500038D"</f>
        <v>PR3500038D</v>
      </c>
      <c r="F1263" s="5">
        <v>44470</v>
      </c>
      <c r="G1263" s="5">
        <v>54789</v>
      </c>
      <c r="H1263" s="4" t="str">
        <f>"/"</f>
        <v>/</v>
      </c>
      <c r="I1263" s="4" t="str">
        <f>"/"</f>
        <v>/</v>
      </c>
    </row>
    <row r="1264" spans="1:9" x14ac:dyDescent="0.3">
      <c r="A1264" s="1" t="str">
        <f>"35"</f>
        <v>35</v>
      </c>
      <c r="B1264" s="4" t="str">
        <f>"AUTO LIFE 35"</f>
        <v>AUTO LIFE 35</v>
      </c>
      <c r="C1264" s="4">
        <v>893934827</v>
      </c>
      <c r="D1264" s="3" t="s">
        <v>0</v>
      </c>
      <c r="E1264" s="2" t="str">
        <f>"0005501524"</f>
        <v>0005501524</v>
      </c>
      <c r="F1264" s="5">
        <v>44470</v>
      </c>
      <c r="G1264" s="5">
        <v>54789</v>
      </c>
      <c r="H1264" s="4" t="str">
        <f>"/"</f>
        <v>/</v>
      </c>
      <c r="I1264" s="4" t="str">
        <f>"/"</f>
        <v>/</v>
      </c>
    </row>
    <row r="1265" spans="1:9" x14ac:dyDescent="0.3">
      <c r="A1265" s="1" t="str">
        <f>"35"</f>
        <v>35</v>
      </c>
      <c r="B1265" s="4" t="str">
        <f>"CASSE AUTO LABBE"</f>
        <v>CASSE AUTO LABBE</v>
      </c>
      <c r="C1265" s="4">
        <v>912259454</v>
      </c>
      <c r="D1265" s="3" t="s">
        <v>0</v>
      </c>
      <c r="E1265" s="2" t="str">
        <f>"PR3500040D"</f>
        <v>PR3500040D</v>
      </c>
      <c r="F1265" s="5">
        <v>44976</v>
      </c>
      <c r="G1265" s="5">
        <v>54789</v>
      </c>
      <c r="H1265" s="4" t="str">
        <f>"Gilles"</f>
        <v>Gilles</v>
      </c>
      <c r="I1265" s="4" t="str">
        <f>"LABBE"</f>
        <v>LABBE</v>
      </c>
    </row>
    <row r="1266" spans="1:9" x14ac:dyDescent="0.3">
      <c r="A1266" s="1" t="str">
        <f>"35"</f>
        <v>35</v>
      </c>
      <c r="B1266" s="4" t="str">
        <f>"CASSE AUTO LABBE"</f>
        <v>CASSE AUTO LABBE</v>
      </c>
      <c r="C1266" s="4">
        <v>912259454</v>
      </c>
      <c r="D1266" s="3" t="s">
        <v>0</v>
      </c>
      <c r="E1266" s="2" t="str">
        <f>"0005501452"</f>
        <v>0005501452</v>
      </c>
      <c r="F1266" s="5">
        <v>44976</v>
      </c>
      <c r="G1266" s="5">
        <v>54789</v>
      </c>
      <c r="H1266" s="4" t="str">
        <f>"Gilles"</f>
        <v>Gilles</v>
      </c>
      <c r="I1266" s="4" t="str">
        <f>"LABBE"</f>
        <v>LABBE</v>
      </c>
    </row>
    <row r="1267" spans="1:9" x14ac:dyDescent="0.3">
      <c r="A1267" s="1" t="str">
        <f>"35"</f>
        <v>35</v>
      </c>
      <c r="B1267" s="4" t="str">
        <f>"CAR CASSE BRUNET"</f>
        <v>CAR CASSE BRUNET</v>
      </c>
      <c r="C1267" s="4">
        <v>992334938</v>
      </c>
      <c r="D1267" s="3" t="s">
        <v>0</v>
      </c>
      <c r="E1267" s="2" t="str">
        <f>"PR3500014D"</f>
        <v>PR3500014D</v>
      </c>
      <c r="F1267" s="5">
        <v>45962</v>
      </c>
      <c r="G1267" s="5">
        <v>54789</v>
      </c>
      <c r="H1267" s="4" t="str">
        <f>"/"</f>
        <v>/</v>
      </c>
      <c r="I1267" s="4" t="str">
        <f>"/"</f>
        <v>/</v>
      </c>
    </row>
    <row r="1268" spans="1:9" x14ac:dyDescent="0.3">
      <c r="A1268" s="1" t="str">
        <f>"35"</f>
        <v>35</v>
      </c>
      <c r="B1268" s="4" t="str">
        <f>"CAR CASSE BRUNET"</f>
        <v>CAR CASSE BRUNET</v>
      </c>
      <c r="C1268" s="4">
        <v>992334938</v>
      </c>
      <c r="D1268" s="3" t="s">
        <v>0</v>
      </c>
      <c r="E1268" s="2" t="str">
        <f>"0005501431"</f>
        <v>0005501431</v>
      </c>
      <c r="F1268" s="5">
        <v>45962</v>
      </c>
      <c r="G1268" s="5">
        <v>54789</v>
      </c>
      <c r="H1268" s="4" t="str">
        <f>"/"</f>
        <v>/</v>
      </c>
      <c r="I1268" s="4" t="str">
        <f>"/"</f>
        <v>/</v>
      </c>
    </row>
    <row r="1269" spans="1:9" x14ac:dyDescent="0.3">
      <c r="A1269" s="1" t="str">
        <f>"36"</f>
        <v>36</v>
      </c>
      <c r="B1269" s="4" t="str">
        <f>"TROTIGNON SARL"</f>
        <v>TROTIGNON SARL</v>
      </c>
      <c r="C1269" s="4">
        <v>327126546</v>
      </c>
      <c r="D1269" s="3" t="s">
        <v>0</v>
      </c>
      <c r="E1269" s="2" t="str">
        <f>"PR3600005D"</f>
        <v>PR3600005D</v>
      </c>
      <c r="F1269" s="5">
        <v>43949</v>
      </c>
      <c r="G1269" s="5">
        <v>54789</v>
      </c>
      <c r="H1269" s="4" t="str">
        <f>""</f>
        <v/>
      </c>
      <c r="I1269" s="4" t="str">
        <f>""</f>
        <v/>
      </c>
    </row>
    <row r="1270" spans="1:9" x14ac:dyDescent="0.3">
      <c r="A1270" s="1" t="str">
        <f>"36"</f>
        <v>36</v>
      </c>
      <c r="B1270" s="4" t="str">
        <f>"TROTIGNON SARL"</f>
        <v>TROTIGNON SARL</v>
      </c>
      <c r="C1270" s="4">
        <v>327126546</v>
      </c>
      <c r="D1270" s="3" t="s">
        <v>0</v>
      </c>
      <c r="E1270" s="2" t="str">
        <f>"0010008573"</f>
        <v>0010008573</v>
      </c>
      <c r="F1270" s="5">
        <v>43949</v>
      </c>
      <c r="G1270" s="5">
        <v>54789</v>
      </c>
      <c r="H1270" s="4" t="str">
        <f>""</f>
        <v/>
      </c>
      <c r="I1270" s="4" t="str">
        <f>""</f>
        <v/>
      </c>
    </row>
    <row r="1271" spans="1:9" x14ac:dyDescent="0.3">
      <c r="A1271" s="1" t="str">
        <f>"36"</f>
        <v>36</v>
      </c>
      <c r="B1271" s="4" t="str">
        <f>"AUTO PIECES 36"</f>
        <v>AUTO PIECES 36</v>
      </c>
      <c r="C1271" s="4">
        <v>348576034</v>
      </c>
      <c r="D1271" s="3" t="s">
        <v>0</v>
      </c>
      <c r="E1271" s="2" t="str">
        <f>"PR3600010D"</f>
        <v>PR3600010D</v>
      </c>
      <c r="F1271" s="5">
        <v>45649</v>
      </c>
      <c r="G1271" s="5">
        <v>54789</v>
      </c>
      <c r="H1271" s="4" t="str">
        <f>""</f>
        <v/>
      </c>
      <c r="I1271" s="4" t="str">
        <f>""</f>
        <v/>
      </c>
    </row>
    <row r="1272" spans="1:9" x14ac:dyDescent="0.3">
      <c r="A1272" s="1" t="str">
        <f>"36"</f>
        <v>36</v>
      </c>
      <c r="B1272" s="4" t="str">
        <f>"AUTO PIECES 36"</f>
        <v>AUTO PIECES 36</v>
      </c>
      <c r="C1272" s="4">
        <v>348576034</v>
      </c>
      <c r="D1272" s="3" t="s">
        <v>0</v>
      </c>
      <c r="E1272" s="2" t="str">
        <f>"0010008267"</f>
        <v>0010008267</v>
      </c>
      <c r="F1272" s="5">
        <v>45649</v>
      </c>
      <c r="G1272" s="5">
        <v>54789</v>
      </c>
      <c r="H1272" s="4" t="str">
        <f>""</f>
        <v/>
      </c>
      <c r="I1272" s="4" t="str">
        <f>""</f>
        <v/>
      </c>
    </row>
    <row r="1273" spans="1:9" x14ac:dyDescent="0.3">
      <c r="A1273" s="1" t="str">
        <f>"36"</f>
        <v>36</v>
      </c>
      <c r="B1273" s="4" t="str">
        <f>"AUTOCASSE TETARD SAS"</f>
        <v>AUTOCASSE TETARD SAS</v>
      </c>
      <c r="C1273" s="4">
        <v>387665680</v>
      </c>
      <c r="D1273" s="3" t="s">
        <v>0</v>
      </c>
      <c r="E1273" s="2" t="str">
        <f>"PR3600002D"</f>
        <v>PR3600002D</v>
      </c>
      <c r="F1273" s="5">
        <v>38861</v>
      </c>
      <c r="G1273" s="5">
        <v>54789</v>
      </c>
      <c r="H1273" s="4" t="str">
        <f>""</f>
        <v/>
      </c>
      <c r="I1273" s="4" t="str">
        <f>""</f>
        <v/>
      </c>
    </row>
    <row r="1274" spans="1:9" x14ac:dyDescent="0.3">
      <c r="A1274" s="1" t="str">
        <f>"36"</f>
        <v>36</v>
      </c>
      <c r="B1274" s="4" t="str">
        <f>"AUTOCASSE TETARD SAS"</f>
        <v>AUTOCASSE TETARD SAS</v>
      </c>
      <c r="C1274" s="4">
        <v>387665680</v>
      </c>
      <c r="D1274" s="3" t="s">
        <v>0</v>
      </c>
      <c r="E1274" s="2" t="str">
        <f>"0010008201"</f>
        <v>0010008201</v>
      </c>
      <c r="F1274" s="5">
        <v>38861</v>
      </c>
      <c r="G1274" s="5">
        <v>54789</v>
      </c>
      <c r="H1274" s="4" t="str">
        <f>""</f>
        <v/>
      </c>
      <c r="I1274" s="4" t="str">
        <f>""</f>
        <v/>
      </c>
    </row>
    <row r="1275" spans="1:9" x14ac:dyDescent="0.3">
      <c r="A1275" s="1" t="str">
        <f>"36"</f>
        <v>36</v>
      </c>
      <c r="B1275" s="4" t="str">
        <f>"CASSE AUTO BAYARD SAS"</f>
        <v>CASSE AUTO BAYARD SAS</v>
      </c>
      <c r="C1275" s="4">
        <v>398918854</v>
      </c>
      <c r="D1275" s="3" t="s">
        <v>0</v>
      </c>
      <c r="E1275" s="2" t="str">
        <f>"PR3600003D"</f>
        <v>PR3600003D</v>
      </c>
      <c r="F1275" s="5">
        <v>38855</v>
      </c>
      <c r="G1275" s="5">
        <v>54789</v>
      </c>
      <c r="H1275" s="4" t="str">
        <f>""</f>
        <v/>
      </c>
      <c r="I1275" s="4" t="str">
        <f>""</f>
        <v/>
      </c>
    </row>
    <row r="1276" spans="1:9" x14ac:dyDescent="0.3">
      <c r="A1276" s="1" t="str">
        <f>"36"</f>
        <v>36</v>
      </c>
      <c r="B1276" s="4" t="str">
        <f>"CASSE AUTO BAYARD SAS"</f>
        <v>CASSE AUTO BAYARD SAS</v>
      </c>
      <c r="C1276" s="4">
        <v>398918854</v>
      </c>
      <c r="D1276" s="3" t="s">
        <v>0</v>
      </c>
      <c r="E1276" s="2" t="str">
        <f>"0010008304"</f>
        <v>0010008304</v>
      </c>
      <c r="F1276" s="5">
        <v>38855</v>
      </c>
      <c r="G1276" s="5">
        <v>54789</v>
      </c>
      <c r="H1276" s="4" t="str">
        <f>""</f>
        <v/>
      </c>
      <c r="I1276" s="4" t="str">
        <f>""</f>
        <v/>
      </c>
    </row>
    <row r="1277" spans="1:9" x14ac:dyDescent="0.3">
      <c r="A1277" s="1" t="str">
        <f>"36"</f>
        <v>36</v>
      </c>
      <c r="B1277" s="4" t="str">
        <f>"SARL RECUP AUTO"</f>
        <v>SARL RECUP AUTO</v>
      </c>
      <c r="C1277" s="4">
        <v>414501833</v>
      </c>
      <c r="D1277" s="3" t="s">
        <v>0</v>
      </c>
      <c r="E1277" s="2" t="str">
        <f>"PR3600001D"</f>
        <v>PR3600001D</v>
      </c>
      <c r="F1277" s="5">
        <v>38861</v>
      </c>
      <c r="G1277" s="5">
        <v>54789</v>
      </c>
      <c r="H1277" s="4" t="str">
        <f>""</f>
        <v/>
      </c>
      <c r="I1277" s="4" t="str">
        <f>""</f>
        <v/>
      </c>
    </row>
    <row r="1278" spans="1:9" x14ac:dyDescent="0.3">
      <c r="A1278" s="1" t="str">
        <f>"36"</f>
        <v>36</v>
      </c>
      <c r="B1278" s="4" t="str">
        <f>"SARL RECUP AUTO"</f>
        <v>SARL RECUP AUTO</v>
      </c>
      <c r="C1278" s="4">
        <v>414501833</v>
      </c>
      <c r="D1278" s="3" t="s">
        <v>0</v>
      </c>
      <c r="E1278" s="2" t="str">
        <f>"0010008296"</f>
        <v>0010008296</v>
      </c>
      <c r="F1278" s="5">
        <v>38861</v>
      </c>
      <c r="G1278" s="5">
        <v>54789</v>
      </c>
      <c r="H1278" s="4" t="str">
        <f>""</f>
        <v/>
      </c>
      <c r="I1278" s="4" t="str">
        <f>""</f>
        <v/>
      </c>
    </row>
    <row r="1279" spans="1:9" x14ac:dyDescent="0.3">
      <c r="A1279" s="1" t="str">
        <f>"36"</f>
        <v>36</v>
      </c>
      <c r="B1279" s="4" t="str">
        <f>"LAURIEN"</f>
        <v>LAURIEN</v>
      </c>
      <c r="C1279" s="4">
        <v>453037905</v>
      </c>
      <c r="D1279" s="3" t="s">
        <v>0</v>
      </c>
      <c r="E1279" s="2" t="str">
        <f>"PR3600012D"</f>
        <v>PR3600012D</v>
      </c>
      <c r="F1279" s="5">
        <v>41295</v>
      </c>
      <c r="G1279" s="5">
        <v>54789</v>
      </c>
      <c r="H1279" s="4" t="str">
        <f>""</f>
        <v/>
      </c>
      <c r="I1279" s="4" t="str">
        <f>""</f>
        <v/>
      </c>
    </row>
    <row r="1280" spans="1:9" x14ac:dyDescent="0.3">
      <c r="A1280" s="1" t="str">
        <f>"36"</f>
        <v>36</v>
      </c>
      <c r="B1280" s="4" t="str">
        <f>"LAURIEN"</f>
        <v>LAURIEN</v>
      </c>
      <c r="C1280" s="4">
        <v>453037905</v>
      </c>
      <c r="D1280" s="3" t="s">
        <v>0</v>
      </c>
      <c r="E1280" s="2" t="str">
        <f>"0010008314"</f>
        <v>0010008314</v>
      </c>
      <c r="F1280" s="5">
        <v>41295</v>
      </c>
      <c r="G1280" s="5">
        <v>54789</v>
      </c>
      <c r="H1280" s="4" t="str">
        <f>""</f>
        <v/>
      </c>
      <c r="I1280" s="4" t="str">
        <f>""</f>
        <v/>
      </c>
    </row>
    <row r="1281" spans="1:9" x14ac:dyDescent="0.3">
      <c r="A1281" s="1" t="str">
        <f>"37"</f>
        <v>37</v>
      </c>
      <c r="B1281" s="4" t="str">
        <f>"SOCIETE ETABLISSEMENTS VINCENT"</f>
        <v>SOCIETE ETABLISSEMENTS VINCENT</v>
      </c>
      <c r="C1281" s="4">
        <v>312493356</v>
      </c>
      <c r="D1281" s="3" t="s">
        <v>0</v>
      </c>
      <c r="E1281" s="2" t="str">
        <f>"PR3700017D"</f>
        <v>PR3700017D</v>
      </c>
      <c r="F1281" s="5">
        <v>43629</v>
      </c>
      <c r="G1281" s="5">
        <v>54789</v>
      </c>
      <c r="H1281" s="4" t="str">
        <f>""</f>
        <v/>
      </c>
      <c r="I1281" s="4" t="str">
        <f>""</f>
        <v/>
      </c>
    </row>
    <row r="1282" spans="1:9" x14ac:dyDescent="0.3">
      <c r="A1282" s="1" t="str">
        <f>"37"</f>
        <v>37</v>
      </c>
      <c r="B1282" s="4" t="str">
        <f>"SOCIETE ETABLISSEMENTS VINCENT"</f>
        <v>SOCIETE ETABLISSEMENTS VINCENT</v>
      </c>
      <c r="C1282" s="4">
        <v>312493356</v>
      </c>
      <c r="D1282" s="3" t="s">
        <v>0</v>
      </c>
      <c r="E1282" s="2" t="str">
        <f>"0010011009"</f>
        <v>0010011009</v>
      </c>
      <c r="F1282" s="5">
        <v>43629</v>
      </c>
      <c r="G1282" s="5">
        <v>54789</v>
      </c>
      <c r="H1282" s="4" t="str">
        <f>""</f>
        <v/>
      </c>
      <c r="I1282" s="4" t="str">
        <f>""</f>
        <v/>
      </c>
    </row>
    <row r="1283" spans="1:9" x14ac:dyDescent="0.3">
      <c r="A1283" s="1" t="str">
        <f>"37"</f>
        <v>37</v>
      </c>
      <c r="B1283" s="4" t="str">
        <f>"G D E K AS"</f>
        <v>G D E K AS</v>
      </c>
      <c r="C1283" s="4">
        <v>347711160</v>
      </c>
      <c r="D1283" s="3" t="s">
        <v>0</v>
      </c>
      <c r="E1283" s="2" t="str">
        <f>"PR3700013D"</f>
        <v>PR3700013D</v>
      </c>
      <c r="F1283" s="5">
        <v>43417</v>
      </c>
      <c r="G1283" s="5">
        <v>54789</v>
      </c>
      <c r="H1283" s="4" t="str">
        <f>""</f>
        <v/>
      </c>
      <c r="I1283" s="4" t="str">
        <f>""</f>
        <v/>
      </c>
    </row>
    <row r="1284" spans="1:9" x14ac:dyDescent="0.3">
      <c r="A1284" s="1" t="str">
        <f>"37"</f>
        <v>37</v>
      </c>
      <c r="B1284" s="4" t="str">
        <f>"G D E K AS"</f>
        <v>G D E K AS</v>
      </c>
      <c r="C1284" s="4">
        <v>347711160</v>
      </c>
      <c r="D1284" s="3" t="s">
        <v>0</v>
      </c>
      <c r="E1284" s="2" t="str">
        <f>"0010008509"</f>
        <v>0010008509</v>
      </c>
      <c r="F1284" s="5">
        <v>43417</v>
      </c>
      <c r="G1284" s="5">
        <v>54789</v>
      </c>
      <c r="H1284" s="4" t="str">
        <f>""</f>
        <v/>
      </c>
      <c r="I1284" s="4" t="str">
        <f>""</f>
        <v/>
      </c>
    </row>
    <row r="1285" spans="1:9" x14ac:dyDescent="0.3">
      <c r="A1285" s="1" t="str">
        <f>"37"</f>
        <v>37</v>
      </c>
      <c r="B1285" s="4" t="str">
        <f>"AFM RECYCLAGE"</f>
        <v>AFM RECYCLAGE</v>
      </c>
      <c r="C1285" s="4">
        <v>383482635</v>
      </c>
      <c r="D1285" s="3" t="s">
        <v>0</v>
      </c>
      <c r="E1285" s="2" t="str">
        <f>"0010003786"</f>
        <v>0010003786</v>
      </c>
      <c r="F1285" s="5">
        <v>43672</v>
      </c>
      <c r="G1285" s="5">
        <v>54789</v>
      </c>
      <c r="H1285" s="4" t="str">
        <f>""</f>
        <v/>
      </c>
      <c r="I1285" s="4" t="str">
        <f>""</f>
        <v/>
      </c>
    </row>
    <row r="1286" spans="1:9" x14ac:dyDescent="0.3">
      <c r="A1286" s="1" t="str">
        <f>"37"</f>
        <v>37</v>
      </c>
      <c r="B1286" s="4" t="str">
        <f>"AFM RECYCLAGE"</f>
        <v>AFM RECYCLAGE</v>
      </c>
      <c r="C1286" s="4">
        <v>383482635</v>
      </c>
      <c r="D1286" s="3" t="s">
        <v>0</v>
      </c>
      <c r="E1286" s="2" t="str">
        <f>"PR3700031D"</f>
        <v>PR3700031D</v>
      </c>
      <c r="F1286" s="5">
        <v>44083</v>
      </c>
      <c r="G1286" s="5">
        <v>54789</v>
      </c>
      <c r="H1286" s="4" t="str">
        <f>""</f>
        <v/>
      </c>
      <c r="I1286" s="4" t="str">
        <f>""</f>
        <v/>
      </c>
    </row>
    <row r="1287" spans="1:9" x14ac:dyDescent="0.3">
      <c r="A1287" s="1" t="str">
        <f>"37"</f>
        <v>37</v>
      </c>
      <c r="B1287" s="4" t="str">
        <f>"AFM RECYCLAGE"</f>
        <v>AFM RECYCLAGE</v>
      </c>
      <c r="C1287" s="4">
        <v>383482635</v>
      </c>
      <c r="D1287" s="3" t="s">
        <v>0</v>
      </c>
      <c r="E1287" s="2" t="str">
        <f>"0010005887"</f>
        <v>0010005887</v>
      </c>
      <c r="F1287" s="5">
        <v>44083</v>
      </c>
      <c r="G1287" s="5">
        <v>54789</v>
      </c>
      <c r="H1287" s="4" t="str">
        <f>""</f>
        <v/>
      </c>
      <c r="I1287" s="4" t="str">
        <f>""</f>
        <v/>
      </c>
    </row>
    <row r="1288" spans="1:9" x14ac:dyDescent="0.3">
      <c r="A1288" s="1" t="str">
        <f>"37"</f>
        <v>37</v>
      </c>
      <c r="B1288" s="4" t="str">
        <f>""</f>
        <v/>
      </c>
      <c r="C1288" s="4">
        <v>385150040</v>
      </c>
      <c r="D1288" s="3" t="s">
        <v>0</v>
      </c>
      <c r="E1288" s="2" t="str">
        <f>"PR3700002D"</f>
        <v>PR3700002D</v>
      </c>
      <c r="F1288" s="5">
        <v>43248</v>
      </c>
      <c r="G1288" s="5">
        <v>54789</v>
      </c>
      <c r="H1288" s="4" t="str">
        <f>"FASILLEAU"</f>
        <v>FASILLEAU</v>
      </c>
      <c r="I1288" s="4" t="str">
        <f>"Xavier"</f>
        <v>Xavier</v>
      </c>
    </row>
    <row r="1289" spans="1:9" x14ac:dyDescent="0.3">
      <c r="A1289" s="1" t="str">
        <f>"37"</f>
        <v>37</v>
      </c>
      <c r="B1289" s="4" t="str">
        <f>""</f>
        <v/>
      </c>
      <c r="C1289" s="4">
        <v>385150040</v>
      </c>
      <c r="D1289" s="3" t="s">
        <v>0</v>
      </c>
      <c r="E1289" s="2" t="str">
        <f>"0010007888"</f>
        <v>0010007888</v>
      </c>
      <c r="F1289" s="5">
        <v>43248</v>
      </c>
      <c r="G1289" s="5">
        <v>54789</v>
      </c>
      <c r="H1289" s="4" t="str">
        <f>"FASILLEAU"</f>
        <v>FASILLEAU</v>
      </c>
      <c r="I1289" s="4" t="str">
        <f>"Xavier"</f>
        <v>Xavier</v>
      </c>
    </row>
    <row r="1290" spans="1:9" x14ac:dyDescent="0.3">
      <c r="A1290" s="1" t="str">
        <f>"37"</f>
        <v>37</v>
      </c>
      <c r="B1290" s="4" t="str">
        <f>"DENIS PASSENAUD SAS"</f>
        <v>DENIS PASSENAUD SAS</v>
      </c>
      <c r="C1290" s="4">
        <v>400383352</v>
      </c>
      <c r="D1290" s="3" t="s">
        <v>0</v>
      </c>
      <c r="E1290" s="2" t="str">
        <f>"PR3700015D"</f>
        <v>PR3700015D</v>
      </c>
      <c r="F1290" s="5">
        <v>43496</v>
      </c>
      <c r="G1290" s="5">
        <v>54789</v>
      </c>
      <c r="H1290" s="4" t="str">
        <f>""</f>
        <v/>
      </c>
      <c r="I1290" s="4" t="str">
        <f>""</f>
        <v/>
      </c>
    </row>
    <row r="1291" spans="1:9" x14ac:dyDescent="0.3">
      <c r="A1291" s="1" t="str">
        <f>"37"</f>
        <v>37</v>
      </c>
      <c r="B1291" s="4" t="str">
        <f>"DENIS PASSENAUD SAS"</f>
        <v>DENIS PASSENAUD SAS</v>
      </c>
      <c r="C1291" s="4">
        <v>400383352</v>
      </c>
      <c r="D1291" s="3" t="s">
        <v>0</v>
      </c>
      <c r="E1291" s="2" t="str">
        <f>"0010008459"</f>
        <v>0010008459</v>
      </c>
      <c r="F1291" s="5">
        <v>43496</v>
      </c>
      <c r="G1291" s="5">
        <v>54789</v>
      </c>
      <c r="H1291" s="4" t="str">
        <f>""</f>
        <v/>
      </c>
      <c r="I1291" s="4" t="str">
        <f>""</f>
        <v/>
      </c>
    </row>
    <row r="1292" spans="1:9" x14ac:dyDescent="0.3">
      <c r="A1292" s="1" t="str">
        <f>"37"</f>
        <v>37</v>
      </c>
      <c r="B1292" s="4" t="str">
        <f>"LESEVE TOURAINE DECONSTRUCTION RECYCLAGE AUTOMOBILE"</f>
        <v>LESEVE TOURAINE DECONSTRUCTION RECYCLAGE AUTOMOBILE</v>
      </c>
      <c r="C1292" s="4">
        <v>413977869</v>
      </c>
      <c r="D1292" s="3" t="s">
        <v>0</v>
      </c>
      <c r="E1292" s="2" t="str">
        <f>"PR3700004D"</f>
        <v>PR3700004D</v>
      </c>
      <c r="F1292" s="5">
        <v>43242</v>
      </c>
      <c r="G1292" s="5">
        <v>54789</v>
      </c>
      <c r="H1292" s="4" t="str">
        <f>""</f>
        <v/>
      </c>
      <c r="I1292" s="4" t="str">
        <f>""</f>
        <v/>
      </c>
    </row>
    <row r="1293" spans="1:9" x14ac:dyDescent="0.3">
      <c r="A1293" s="1" t="str">
        <f>"37"</f>
        <v>37</v>
      </c>
      <c r="B1293" s="4" t="str">
        <f>"LESEVE TOURAINE DECONSTRUCTION RECYCLAGE AUTOMOBILE"</f>
        <v>LESEVE TOURAINE DECONSTRUCTION RECYCLAGE AUTOMOBILE</v>
      </c>
      <c r="C1293" s="4">
        <v>413977869</v>
      </c>
      <c r="D1293" s="3" t="s">
        <v>0</v>
      </c>
      <c r="E1293" s="2" t="str">
        <f>"0010008067"</f>
        <v>0010008067</v>
      </c>
      <c r="F1293" s="5">
        <v>43242</v>
      </c>
      <c r="G1293" s="5">
        <v>54789</v>
      </c>
      <c r="H1293" s="4" t="str">
        <f>""</f>
        <v/>
      </c>
      <c r="I1293" s="4" t="str">
        <f>""</f>
        <v/>
      </c>
    </row>
    <row r="1294" spans="1:9" x14ac:dyDescent="0.3">
      <c r="A1294" s="1" t="str">
        <f>"37"</f>
        <v>37</v>
      </c>
      <c r="B1294" s="4" t="str">
        <f>"AUTOS NEGOCE VOITURES ACCIDENTEES"</f>
        <v>AUTOS NEGOCE VOITURES ACCIDENTEES</v>
      </c>
      <c r="C1294" s="4">
        <v>419453915</v>
      </c>
      <c r="D1294" s="3" t="s">
        <v>0</v>
      </c>
      <c r="E1294" s="2" t="str">
        <f>"PR3700003D"</f>
        <v>PR3700003D</v>
      </c>
      <c r="F1294" s="5">
        <v>43248</v>
      </c>
      <c r="G1294" s="5">
        <v>54789</v>
      </c>
      <c r="H1294" s="4" t="str">
        <f>""</f>
        <v/>
      </c>
      <c r="I1294" s="4" t="str">
        <f>""</f>
        <v/>
      </c>
    </row>
    <row r="1295" spans="1:9" x14ac:dyDescent="0.3">
      <c r="A1295" s="1" t="str">
        <f>"37"</f>
        <v>37</v>
      </c>
      <c r="B1295" s="4" t="str">
        <f>"AUTOS NEGOCE VOITURES ACCIDENTEES"</f>
        <v>AUTOS NEGOCE VOITURES ACCIDENTEES</v>
      </c>
      <c r="C1295" s="4">
        <v>419453915</v>
      </c>
      <c r="D1295" s="3" t="s">
        <v>0</v>
      </c>
      <c r="E1295" s="2" t="str">
        <f>"0010006075"</f>
        <v>0010006075</v>
      </c>
      <c r="F1295" s="5">
        <v>43248</v>
      </c>
      <c r="G1295" s="5">
        <v>54789</v>
      </c>
      <c r="H1295" s="4" t="str">
        <f>""</f>
        <v/>
      </c>
      <c r="I1295" s="4" t="str">
        <f>""</f>
        <v/>
      </c>
    </row>
    <row r="1296" spans="1:9" x14ac:dyDescent="0.3">
      <c r="A1296" s="1" t="str">
        <f>"37"</f>
        <v>37</v>
      </c>
      <c r="B1296" s="4" t="str">
        <f>"AUTOPIECES 37"</f>
        <v>AUTOPIECES 37</v>
      </c>
      <c r="C1296" s="4">
        <v>424905644</v>
      </c>
      <c r="D1296" s="3" t="s">
        <v>0</v>
      </c>
      <c r="E1296" s="2" t="str">
        <f>"PR3700030D"</f>
        <v>PR3700030D</v>
      </c>
      <c r="F1296" s="5">
        <v>43994</v>
      </c>
      <c r="G1296" s="5">
        <v>54789</v>
      </c>
      <c r="H1296" s="4" t="str">
        <f>""</f>
        <v/>
      </c>
      <c r="I1296" s="4" t="str">
        <f>""</f>
        <v/>
      </c>
    </row>
    <row r="1297" spans="1:9" x14ac:dyDescent="0.3">
      <c r="A1297" s="1" t="str">
        <f>"37"</f>
        <v>37</v>
      </c>
      <c r="B1297" s="4" t="str">
        <f>"AUTOPIECES 37"</f>
        <v>AUTOPIECES 37</v>
      </c>
      <c r="C1297" s="4">
        <v>424905644</v>
      </c>
      <c r="D1297" s="3" t="s">
        <v>0</v>
      </c>
      <c r="E1297" s="2" t="str">
        <f>"0010014085"</f>
        <v>0010014085</v>
      </c>
      <c r="F1297" s="5">
        <v>43994</v>
      </c>
      <c r="G1297" s="5">
        <v>54789</v>
      </c>
      <c r="H1297" s="4" t="str">
        <f>""</f>
        <v/>
      </c>
      <c r="I1297" s="4" t="str">
        <f>""</f>
        <v/>
      </c>
    </row>
    <row r="1298" spans="1:9" x14ac:dyDescent="0.3">
      <c r="A1298" s="1" t="str">
        <f>"37"</f>
        <v>37</v>
      </c>
      <c r="B1298" s="4" t="str">
        <f>"RIBEIRO ET ASSOCIES"</f>
        <v>RIBEIRO ET ASSOCIES</v>
      </c>
      <c r="C1298" s="4">
        <v>490469764</v>
      </c>
      <c r="D1298" s="3" t="s">
        <v>0</v>
      </c>
      <c r="E1298" s="2" t="str">
        <f>"0010004464"</f>
        <v>0010004464</v>
      </c>
      <c r="F1298" s="5">
        <v>43536</v>
      </c>
      <c r="G1298" s="5">
        <v>54789</v>
      </c>
      <c r="H1298" s="4" t="str">
        <f>""</f>
        <v/>
      </c>
      <c r="I1298" s="4" t="str">
        <f>""</f>
        <v/>
      </c>
    </row>
    <row r="1299" spans="1:9" x14ac:dyDescent="0.3">
      <c r="A1299" s="1" t="str">
        <f>"37"</f>
        <v>37</v>
      </c>
      <c r="B1299" s="4" t="str">
        <f>"CASSE AUTO DU VERON"</f>
        <v>CASSE AUTO DU VERON</v>
      </c>
      <c r="C1299" s="4">
        <v>492172416</v>
      </c>
      <c r="D1299" s="3" t="s">
        <v>0</v>
      </c>
      <c r="E1299" s="2" t="str">
        <f>"PR3700001D"</f>
        <v>PR3700001D</v>
      </c>
      <c r="F1299" s="5">
        <v>43248</v>
      </c>
      <c r="G1299" s="5">
        <v>54789</v>
      </c>
      <c r="H1299" s="4" t="str">
        <f>""</f>
        <v/>
      </c>
      <c r="I1299" s="4" t="str">
        <f>""</f>
        <v/>
      </c>
    </row>
    <row r="1300" spans="1:9" x14ac:dyDescent="0.3">
      <c r="A1300" s="1" t="str">
        <f>"37"</f>
        <v>37</v>
      </c>
      <c r="B1300" s="4" t="str">
        <f>"CASSE AUTO DU VERON"</f>
        <v>CASSE AUTO DU VERON</v>
      </c>
      <c r="C1300" s="4">
        <v>492172416</v>
      </c>
      <c r="D1300" s="3" t="s">
        <v>0</v>
      </c>
      <c r="E1300" s="2" t="str">
        <f>"0010007687"</f>
        <v>0010007687</v>
      </c>
      <c r="F1300" s="5">
        <v>43248</v>
      </c>
      <c r="G1300" s="5">
        <v>54789</v>
      </c>
      <c r="H1300" s="4" t="str">
        <f>""</f>
        <v/>
      </c>
      <c r="I1300" s="4" t="str">
        <f>""</f>
        <v/>
      </c>
    </row>
    <row r="1301" spans="1:9" x14ac:dyDescent="0.3">
      <c r="A1301" s="1" t="str">
        <f>"37"</f>
        <v>37</v>
      </c>
      <c r="B1301" s="4" t="str">
        <f>"PASSENAUD H.A. METAL"</f>
        <v>PASSENAUD H.A. METAL</v>
      </c>
      <c r="C1301" s="4">
        <v>534584727</v>
      </c>
      <c r="D1301" s="3" t="s">
        <v>0</v>
      </c>
      <c r="E1301" s="2" t="str">
        <f>"PR3700023D"</f>
        <v>PR3700023D</v>
      </c>
      <c r="F1301" s="5">
        <v>43563</v>
      </c>
      <c r="G1301" s="5">
        <v>54789</v>
      </c>
      <c r="H1301" s="4" t="str">
        <f>""</f>
        <v/>
      </c>
      <c r="I1301" s="4" t="str">
        <f>""</f>
        <v/>
      </c>
    </row>
    <row r="1302" spans="1:9" x14ac:dyDescent="0.3">
      <c r="A1302" s="1" t="str">
        <f>"37"</f>
        <v>37</v>
      </c>
      <c r="B1302" s="4" t="str">
        <f>"PASSENAUD H.A. METAL"</f>
        <v>PASSENAUD H.A. METAL</v>
      </c>
      <c r="C1302" s="4">
        <v>534584727</v>
      </c>
      <c r="D1302" s="3" t="s">
        <v>0</v>
      </c>
      <c r="E1302" s="2" t="str">
        <f>"0010011495"</f>
        <v>0010011495</v>
      </c>
      <c r="F1302" s="5">
        <v>43563</v>
      </c>
      <c r="G1302" s="5">
        <v>54789</v>
      </c>
      <c r="H1302" s="4" t="str">
        <f>""</f>
        <v/>
      </c>
      <c r="I1302" s="4" t="str">
        <f>""</f>
        <v/>
      </c>
    </row>
    <row r="1303" spans="1:9" x14ac:dyDescent="0.3">
      <c r="A1303" s="1" t="str">
        <f>"37"</f>
        <v>37</v>
      </c>
      <c r="B1303" s="4" t="str">
        <f>"ALLIAGE TOURAINE ENVIRONNEMENT"</f>
        <v>ALLIAGE TOURAINE ENVIRONNEMENT</v>
      </c>
      <c r="C1303" s="4">
        <v>538656125</v>
      </c>
      <c r="D1303" s="3" t="s">
        <v>0</v>
      </c>
      <c r="E1303" s="2" t="str">
        <f>"PR3700025D"</f>
        <v>PR3700025D</v>
      </c>
      <c r="F1303" s="5">
        <v>42181</v>
      </c>
      <c r="G1303" s="5">
        <v>54789</v>
      </c>
      <c r="H1303" s="4" t="str">
        <f>""</f>
        <v/>
      </c>
      <c r="I1303" s="4" t="str">
        <f>""</f>
        <v/>
      </c>
    </row>
    <row r="1304" spans="1:9" x14ac:dyDescent="0.3">
      <c r="A1304" s="1" t="str">
        <f>"37"</f>
        <v>37</v>
      </c>
      <c r="B1304" s="4" t="str">
        <f>"ALLIAGE TOURAINE ENVIRONNEMENT"</f>
        <v>ALLIAGE TOURAINE ENVIRONNEMENT</v>
      </c>
      <c r="C1304" s="4">
        <v>538656125</v>
      </c>
      <c r="D1304" s="3" t="s">
        <v>0</v>
      </c>
      <c r="E1304" s="2" t="str">
        <f>"0010012552"</f>
        <v>0010012552</v>
      </c>
      <c r="F1304" s="5">
        <v>42181</v>
      </c>
      <c r="G1304" s="5">
        <v>54789</v>
      </c>
      <c r="H1304" s="4" t="str">
        <f>""</f>
        <v/>
      </c>
      <c r="I1304" s="4" t="str">
        <f>""</f>
        <v/>
      </c>
    </row>
    <row r="1305" spans="1:9" x14ac:dyDescent="0.3">
      <c r="A1305" s="1" t="str">
        <f>"37"</f>
        <v>37</v>
      </c>
      <c r="B1305" s="4" t="str">
        <f>""</f>
        <v/>
      </c>
      <c r="C1305" s="4">
        <v>714703006</v>
      </c>
      <c r="D1305" s="3" t="s">
        <v>0</v>
      </c>
      <c r="E1305" s="2" t="str">
        <f>"0010004295"</f>
        <v>0010004295</v>
      </c>
      <c r="F1305" s="5">
        <v>43573</v>
      </c>
      <c r="G1305" s="5">
        <v>54789</v>
      </c>
      <c r="H1305" s="4" t="str">
        <f>"MARTIN-DUMAGNY"</f>
        <v>MARTIN-DUMAGNY</v>
      </c>
      <c r="I1305" s="4" t="str">
        <f>"Dominique"</f>
        <v>Dominique</v>
      </c>
    </row>
    <row r="1306" spans="1:9" x14ac:dyDescent="0.3">
      <c r="A1306" s="1" t="str">
        <f>"37"</f>
        <v>37</v>
      </c>
      <c r="B1306" s="4" t="str">
        <f>"ADCO"</f>
        <v>ADCO</v>
      </c>
      <c r="C1306" s="4">
        <v>781598313</v>
      </c>
      <c r="D1306" s="3" t="s">
        <v>0</v>
      </c>
      <c r="E1306" s="2" t="str">
        <f>"PR3700006D"</f>
        <v>PR3700006D</v>
      </c>
      <c r="F1306" s="5">
        <v>43276</v>
      </c>
      <c r="G1306" s="5">
        <v>54789</v>
      </c>
      <c r="H1306" s="4" t="str">
        <f>""</f>
        <v/>
      </c>
      <c r="I1306" s="4" t="str">
        <f>""</f>
        <v/>
      </c>
    </row>
    <row r="1307" spans="1:9" x14ac:dyDescent="0.3">
      <c r="A1307" s="1" t="str">
        <f>"37"</f>
        <v>37</v>
      </c>
      <c r="B1307" s="4" t="str">
        <f>"ADCO"</f>
        <v>ADCO</v>
      </c>
      <c r="C1307" s="4">
        <v>781598313</v>
      </c>
      <c r="D1307" s="3" t="s">
        <v>0</v>
      </c>
      <c r="E1307" s="2" t="str">
        <f>"0010004175"</f>
        <v>0010004175</v>
      </c>
      <c r="F1307" s="5">
        <v>43276</v>
      </c>
      <c r="G1307" s="5">
        <v>54789</v>
      </c>
      <c r="H1307" s="4" t="str">
        <f>""</f>
        <v/>
      </c>
      <c r="I1307" s="4" t="str">
        <f>""</f>
        <v/>
      </c>
    </row>
    <row r="1308" spans="1:9" x14ac:dyDescent="0.3">
      <c r="A1308" s="1" t="str">
        <f>"37"</f>
        <v>37</v>
      </c>
      <c r="B1308" s="4" t="str">
        <f>"ETABLISSEMENTS J. MENUT"</f>
        <v>ETABLISSEMENTS J. MENUT</v>
      </c>
      <c r="C1308" s="4">
        <v>781620059</v>
      </c>
      <c r="D1308" s="3" t="s">
        <v>0</v>
      </c>
      <c r="E1308" s="2" t="str">
        <f>"PR3700024D"</f>
        <v>PR3700024D</v>
      </c>
      <c r="F1308" s="5">
        <v>42864</v>
      </c>
      <c r="G1308" s="5">
        <v>54789</v>
      </c>
      <c r="H1308" s="4" t="str">
        <f>""</f>
        <v/>
      </c>
      <c r="I1308" s="4" t="str">
        <f>""</f>
        <v/>
      </c>
    </row>
    <row r="1309" spans="1:9" x14ac:dyDescent="0.3">
      <c r="A1309" s="1" t="str">
        <f>"37"</f>
        <v>37</v>
      </c>
      <c r="B1309" s="4" t="str">
        <f>"ETABLISSEMENTS J. MENUT"</f>
        <v>ETABLISSEMENTS J. MENUT</v>
      </c>
      <c r="C1309" s="4">
        <v>781620059</v>
      </c>
      <c r="D1309" s="3" t="s">
        <v>0</v>
      </c>
      <c r="E1309" s="2" t="str">
        <f>"0010003890"</f>
        <v>0010003890</v>
      </c>
      <c r="F1309" s="5">
        <v>42864</v>
      </c>
      <c r="G1309" s="5">
        <v>54789</v>
      </c>
      <c r="H1309" s="4" t="str">
        <f>""</f>
        <v/>
      </c>
      <c r="I1309" s="4" t="str">
        <f>""</f>
        <v/>
      </c>
    </row>
    <row r="1310" spans="1:9" x14ac:dyDescent="0.3">
      <c r="A1310" s="1" t="str">
        <f>"37"</f>
        <v>37</v>
      </c>
      <c r="B1310" s="4" t="str">
        <f>"ETABLISSEMENTS J. MENUT"</f>
        <v>ETABLISSEMENTS J. MENUT</v>
      </c>
      <c r="C1310" s="4">
        <v>781620059</v>
      </c>
      <c r="D1310" s="3" t="s">
        <v>0</v>
      </c>
      <c r="E1310" s="2" t="str">
        <f>"PR3700001B"</f>
        <v>PR3700001B</v>
      </c>
      <c r="F1310" s="5">
        <v>42864</v>
      </c>
      <c r="G1310" s="5">
        <v>54789</v>
      </c>
      <c r="H1310" s="4" t="str">
        <f>""</f>
        <v/>
      </c>
      <c r="I1310" s="4" t="str">
        <f>""</f>
        <v/>
      </c>
    </row>
    <row r="1311" spans="1:9" x14ac:dyDescent="0.3">
      <c r="A1311" s="1" t="str">
        <f>"37"</f>
        <v>37</v>
      </c>
      <c r="B1311" s="4" t="str">
        <f>"ETABLISSEMENTS J. MENUT"</f>
        <v>ETABLISSEMENTS J. MENUT</v>
      </c>
      <c r="C1311" s="4">
        <v>781620059</v>
      </c>
      <c r="D1311" s="3" t="s">
        <v>0</v>
      </c>
      <c r="E1311" s="2" t="str">
        <f>"0010003890"</f>
        <v>0010003890</v>
      </c>
      <c r="F1311" s="5">
        <v>42864</v>
      </c>
      <c r="G1311" s="5">
        <v>54789</v>
      </c>
      <c r="H1311" s="4" t="str">
        <f>""</f>
        <v/>
      </c>
      <c r="I1311" s="4" t="str">
        <f>""</f>
        <v/>
      </c>
    </row>
    <row r="1312" spans="1:9" x14ac:dyDescent="0.3">
      <c r="A1312" s="1" t="str">
        <f>"37"</f>
        <v>37</v>
      </c>
      <c r="B1312" s="4" t="str">
        <f>"PASCAULT"</f>
        <v>PASCAULT</v>
      </c>
      <c r="C1312" s="4">
        <v>788072403</v>
      </c>
      <c r="D1312" s="3" t="s">
        <v>0</v>
      </c>
      <c r="E1312" s="2" t="str">
        <f>"PR3700016D"</f>
        <v>PR3700016D</v>
      </c>
      <c r="F1312" s="5">
        <v>43628</v>
      </c>
      <c r="G1312" s="5">
        <v>54789</v>
      </c>
      <c r="H1312" s="4" t="str">
        <f>""</f>
        <v/>
      </c>
      <c r="I1312" s="4" t="str">
        <f>""</f>
        <v/>
      </c>
    </row>
    <row r="1313" spans="1:9" x14ac:dyDescent="0.3">
      <c r="A1313" s="1" t="str">
        <f>"37"</f>
        <v>37</v>
      </c>
      <c r="B1313" s="4" t="str">
        <f>"PASCAULT"</f>
        <v>PASCAULT</v>
      </c>
      <c r="C1313" s="4">
        <v>788072403</v>
      </c>
      <c r="D1313" s="3" t="s">
        <v>0</v>
      </c>
      <c r="E1313" s="2" t="str">
        <f>"0010006403"</f>
        <v>0010006403</v>
      </c>
      <c r="F1313" s="5">
        <v>43628</v>
      </c>
      <c r="G1313" s="5">
        <v>54789</v>
      </c>
      <c r="H1313" s="4" t="str">
        <f>""</f>
        <v/>
      </c>
      <c r="I1313" s="4" t="str">
        <f>""</f>
        <v/>
      </c>
    </row>
    <row r="1314" spans="1:9" x14ac:dyDescent="0.3">
      <c r="A1314" s="1" t="str">
        <f>"37"</f>
        <v>37</v>
      </c>
      <c r="B1314" s="4" t="str">
        <f>"CASS'AUTO LOUIS HORNN"</f>
        <v>CASS'AUTO LOUIS HORNN</v>
      </c>
      <c r="C1314" s="4">
        <v>822537700</v>
      </c>
      <c r="D1314" s="3" t="s">
        <v>0</v>
      </c>
      <c r="E1314" s="2" t="str">
        <f>"PR3700026D"</f>
        <v>PR3700026D</v>
      </c>
      <c r="F1314" s="5">
        <v>42837</v>
      </c>
      <c r="G1314" s="5">
        <v>54789</v>
      </c>
      <c r="H1314" s="4" t="str">
        <f>""</f>
        <v/>
      </c>
      <c r="I1314" s="4" t="str">
        <f>""</f>
        <v/>
      </c>
    </row>
    <row r="1315" spans="1:9" x14ac:dyDescent="0.3">
      <c r="A1315" s="1" t="str">
        <f>"37"</f>
        <v>37</v>
      </c>
      <c r="B1315" s="4" t="str">
        <f>"CASS'AUTO LOUIS HORNN"</f>
        <v>CASS'AUTO LOUIS HORNN</v>
      </c>
      <c r="C1315" s="4">
        <v>822537700</v>
      </c>
      <c r="D1315" s="3" t="s">
        <v>0</v>
      </c>
      <c r="E1315" s="2" t="str">
        <f>"0010008231"</f>
        <v>0010008231</v>
      </c>
      <c r="F1315" s="5">
        <v>42837</v>
      </c>
      <c r="G1315" s="5">
        <v>54789</v>
      </c>
      <c r="H1315" s="4" t="str">
        <f>""</f>
        <v/>
      </c>
      <c r="I1315" s="4" t="str">
        <f>""</f>
        <v/>
      </c>
    </row>
    <row r="1316" spans="1:9" x14ac:dyDescent="0.3">
      <c r="A1316" s="1" t="str">
        <f>"37"</f>
        <v>37</v>
      </c>
      <c r="B1316" s="4" t="str">
        <f>"EUROPIECES AUTO"</f>
        <v>EUROPIECES AUTO</v>
      </c>
      <c r="C1316" s="4">
        <v>913706131</v>
      </c>
      <c r="D1316" s="3" t="s">
        <v>0</v>
      </c>
      <c r="E1316" s="2" t="str">
        <f>"PR3700032D"</f>
        <v>PR3700032D</v>
      </c>
      <c r="F1316" s="5">
        <v>45076</v>
      </c>
      <c r="G1316" s="5">
        <v>54789</v>
      </c>
      <c r="H1316" s="4" t="str">
        <f>""</f>
        <v/>
      </c>
      <c r="I1316" s="4" t="str">
        <f>""</f>
        <v/>
      </c>
    </row>
    <row r="1317" spans="1:9" x14ac:dyDescent="0.3">
      <c r="A1317" s="1" t="str">
        <f>"37"</f>
        <v>37</v>
      </c>
      <c r="B1317" s="4" t="str">
        <f>"EUROPIECES AUTO"</f>
        <v>EUROPIECES AUTO</v>
      </c>
      <c r="C1317" s="4">
        <v>913706131</v>
      </c>
      <c r="D1317" s="3" t="s">
        <v>0</v>
      </c>
      <c r="E1317" s="2" t="str">
        <f>"0010004295"</f>
        <v>0010004295</v>
      </c>
      <c r="F1317" s="5">
        <v>45076</v>
      </c>
      <c r="G1317" s="5">
        <v>54789</v>
      </c>
      <c r="H1317" s="4" t="str">
        <f>""</f>
        <v/>
      </c>
      <c r="I1317" s="4" t="str">
        <f>""</f>
        <v/>
      </c>
    </row>
    <row r="1318" spans="1:9" x14ac:dyDescent="0.3">
      <c r="A1318" s="1" t="str">
        <f>"38"</f>
        <v>38</v>
      </c>
      <c r="B1318" s="4" t="str">
        <f>"SOCIETE FOURNETON LOUIS DEMOLITION"</f>
        <v>SOCIETE FOURNETON LOUIS DEMOLITION</v>
      </c>
      <c r="C1318" s="4">
        <v>68500974</v>
      </c>
      <c r="D1318" s="3" t="s">
        <v>0</v>
      </c>
      <c r="E1318" s="2" t="str">
        <f>"0010400688"</f>
        <v>0010400688</v>
      </c>
      <c r="F1318" s="5">
        <v>39059</v>
      </c>
      <c r="G1318" s="5">
        <v>54789</v>
      </c>
      <c r="H1318" s="4" t="str">
        <f>""</f>
        <v/>
      </c>
      <c r="I1318" s="4" t="str">
        <f>""</f>
        <v/>
      </c>
    </row>
    <row r="1319" spans="1:9" x14ac:dyDescent="0.3">
      <c r="A1319" s="1" t="str">
        <f>"38"</f>
        <v>38</v>
      </c>
      <c r="B1319" s="4" t="str">
        <f>"SOCIETE FOURNETON LOUIS DEMOLITION"</f>
        <v>SOCIETE FOURNETON LOUIS DEMOLITION</v>
      </c>
      <c r="C1319" s="4">
        <v>68500974</v>
      </c>
      <c r="D1319" s="3" t="s">
        <v>0</v>
      </c>
      <c r="E1319" s="2" t="str">
        <f>"PR3800026D"</f>
        <v>PR3800026D</v>
      </c>
      <c r="F1319" s="5">
        <v>39059</v>
      </c>
      <c r="G1319" s="5">
        <v>54789</v>
      </c>
      <c r="H1319" s="4" t="str">
        <f>""</f>
        <v/>
      </c>
      <c r="I1319" s="4" t="str">
        <f>""</f>
        <v/>
      </c>
    </row>
    <row r="1320" spans="1:9" x14ac:dyDescent="0.3">
      <c r="A1320" s="1" t="str">
        <f>"38"</f>
        <v>38</v>
      </c>
      <c r="B1320" s="4" t="str">
        <f>"PARK AUTOS"</f>
        <v>PARK AUTOS</v>
      </c>
      <c r="C1320" s="4">
        <v>73503161</v>
      </c>
      <c r="D1320" s="3" t="s">
        <v>0</v>
      </c>
      <c r="E1320" s="2" t="str">
        <f>"0006104784"</f>
        <v>0006104784</v>
      </c>
      <c r="F1320" s="5">
        <v>38918</v>
      </c>
      <c r="G1320" s="5">
        <v>54789</v>
      </c>
      <c r="H1320" s="4" t="str">
        <f>""</f>
        <v/>
      </c>
      <c r="I1320" s="4" t="str">
        <f>""</f>
        <v/>
      </c>
    </row>
    <row r="1321" spans="1:9" x14ac:dyDescent="0.3">
      <c r="A1321" s="1" t="str">
        <f>"38"</f>
        <v>38</v>
      </c>
      <c r="B1321" s="4" t="str">
        <f>"PARK AUTOS"</f>
        <v>PARK AUTOS</v>
      </c>
      <c r="C1321" s="4">
        <v>73503161</v>
      </c>
      <c r="D1321" s="3" t="s">
        <v>0</v>
      </c>
      <c r="E1321" s="2" t="str">
        <f>"PR3800012D"</f>
        <v>PR3800012D</v>
      </c>
      <c r="F1321" s="5">
        <v>38918</v>
      </c>
      <c r="G1321" s="5">
        <v>54789</v>
      </c>
      <c r="H1321" s="4" t="str">
        <f>""</f>
        <v/>
      </c>
      <c r="I1321" s="4" t="str">
        <f>""</f>
        <v/>
      </c>
    </row>
    <row r="1322" spans="1:9" x14ac:dyDescent="0.3">
      <c r="A1322" s="1" t="str">
        <f>"38"</f>
        <v>38</v>
      </c>
      <c r="B1322" s="4" t="str">
        <f>"SAS VERGER METAUX ET FERAILLES"</f>
        <v>SAS VERGER METAUX ET FERAILLES</v>
      </c>
      <c r="C1322" s="4">
        <v>309358232</v>
      </c>
      <c r="D1322" s="3" t="s">
        <v>0</v>
      </c>
      <c r="E1322" s="2" t="str">
        <f>"0006114305"</f>
        <v>0006114305</v>
      </c>
      <c r="F1322" s="5">
        <v>38926</v>
      </c>
      <c r="G1322" s="5">
        <v>54789</v>
      </c>
      <c r="H1322" s="4" t="str">
        <f>""</f>
        <v/>
      </c>
      <c r="I1322" s="4" t="str">
        <f>""</f>
        <v/>
      </c>
    </row>
    <row r="1323" spans="1:9" x14ac:dyDescent="0.3">
      <c r="A1323" s="1" t="str">
        <f>"38"</f>
        <v>38</v>
      </c>
      <c r="B1323" s="4" t="str">
        <f>"SAS VERGER METAUX ET FERAILLES"</f>
        <v>SAS VERGER METAUX ET FERAILLES</v>
      </c>
      <c r="C1323" s="4">
        <v>309358232</v>
      </c>
      <c r="D1323" s="3" t="s">
        <v>0</v>
      </c>
      <c r="E1323" s="2" t="str">
        <f>"PR3800015D"</f>
        <v>PR3800015D</v>
      </c>
      <c r="F1323" s="5">
        <v>38926</v>
      </c>
      <c r="G1323" s="5">
        <v>54789</v>
      </c>
      <c r="H1323" s="4" t="str">
        <f>""</f>
        <v/>
      </c>
      <c r="I1323" s="4" t="str">
        <f>""</f>
        <v/>
      </c>
    </row>
    <row r="1324" spans="1:9" x14ac:dyDescent="0.3">
      <c r="A1324" s="1" t="str">
        <f>"38"</f>
        <v>38</v>
      </c>
      <c r="B1324" s="4" t="str">
        <f>"COURTINAT Jean-Pierre"</f>
        <v>COURTINAT Jean-Pierre</v>
      </c>
      <c r="C1324" s="4">
        <v>332622075</v>
      </c>
      <c r="D1324" s="3" t="s">
        <v>0</v>
      </c>
      <c r="E1324" s="2" t="str">
        <f>"PR3100005D"</f>
        <v>PR3100005D</v>
      </c>
      <c r="F1324" s="5">
        <v>43313</v>
      </c>
      <c r="G1324" s="5">
        <v>54789</v>
      </c>
      <c r="H1324" s="4" t="str">
        <f>"COURTINAT"</f>
        <v>COURTINAT</v>
      </c>
      <c r="I1324" s="4" t="str">
        <f>"Jean Pierre"</f>
        <v>Jean Pierre</v>
      </c>
    </row>
    <row r="1325" spans="1:9" x14ac:dyDescent="0.3">
      <c r="A1325" s="1" t="str">
        <f>"38"</f>
        <v>38</v>
      </c>
      <c r="B1325" s="4" t="str">
        <f>"PURFER"</f>
        <v>PURFER</v>
      </c>
      <c r="C1325" s="4">
        <v>332628171</v>
      </c>
      <c r="D1325" s="3" t="s">
        <v>0</v>
      </c>
      <c r="E1325" s="2" t="str">
        <f>"0006103143"</f>
        <v>0006103143</v>
      </c>
      <c r="F1325" s="5">
        <v>39015</v>
      </c>
      <c r="G1325" s="5">
        <v>54789</v>
      </c>
      <c r="H1325" s="4" t="str">
        <f>""</f>
        <v/>
      </c>
      <c r="I1325" s="4" t="str">
        <f>""</f>
        <v/>
      </c>
    </row>
    <row r="1326" spans="1:9" x14ac:dyDescent="0.3">
      <c r="A1326" s="1" t="str">
        <f>"38"</f>
        <v>38</v>
      </c>
      <c r="B1326" s="4" t="str">
        <f>"PURFER"</f>
        <v>PURFER</v>
      </c>
      <c r="C1326" s="4">
        <v>332628171</v>
      </c>
      <c r="D1326" s="3" t="s">
        <v>0</v>
      </c>
      <c r="E1326" s="2" t="str">
        <f>"0006103068"</f>
        <v>0006103068</v>
      </c>
      <c r="F1326" s="5">
        <v>39489</v>
      </c>
      <c r="G1326" s="5">
        <v>54789</v>
      </c>
      <c r="H1326" s="4" t="str">
        <f>""</f>
        <v/>
      </c>
      <c r="I1326" s="4" t="str">
        <f>""</f>
        <v/>
      </c>
    </row>
    <row r="1327" spans="1:9" x14ac:dyDescent="0.3">
      <c r="A1327" s="1" t="str">
        <f>"38"</f>
        <v>38</v>
      </c>
      <c r="B1327" s="4" t="str">
        <f>"PURFER"</f>
        <v>PURFER</v>
      </c>
      <c r="C1327" s="4">
        <v>332628171</v>
      </c>
      <c r="D1327" s="3" t="s">
        <v>0</v>
      </c>
      <c r="E1327" s="2" t="str">
        <f>"0006102903"</f>
        <v>0006102903</v>
      </c>
      <c r="F1327" s="5">
        <v>41661</v>
      </c>
      <c r="G1327" s="5">
        <v>54789</v>
      </c>
      <c r="H1327" s="4" t="str">
        <f>""</f>
        <v/>
      </c>
      <c r="I1327" s="4" t="str">
        <f>""</f>
        <v/>
      </c>
    </row>
    <row r="1328" spans="1:9" x14ac:dyDescent="0.3">
      <c r="A1328" s="1" t="str">
        <f>"38"</f>
        <v>38</v>
      </c>
      <c r="B1328" s="4" t="str">
        <f>"PURFER"</f>
        <v>PURFER</v>
      </c>
      <c r="C1328" s="4">
        <v>332628171</v>
      </c>
      <c r="D1328" s="3" t="s">
        <v>0</v>
      </c>
      <c r="E1328" s="2" t="str">
        <f>"0006104795"</f>
        <v>0006104795</v>
      </c>
      <c r="F1328" s="5">
        <v>44652</v>
      </c>
      <c r="G1328" s="5">
        <v>54789</v>
      </c>
      <c r="H1328" s="4" t="str">
        <f>""</f>
        <v/>
      </c>
      <c r="I1328" s="4" t="str">
        <f>""</f>
        <v/>
      </c>
    </row>
    <row r="1329" spans="1:9" x14ac:dyDescent="0.3">
      <c r="A1329" s="1" t="str">
        <f>"38"</f>
        <v>38</v>
      </c>
      <c r="B1329" s="4" t="str">
        <f>"PURFER"</f>
        <v>PURFER</v>
      </c>
      <c r="C1329" s="4">
        <v>332628171</v>
      </c>
      <c r="D1329" s="3" t="s">
        <v>0</v>
      </c>
      <c r="E1329" s="2" t="str">
        <f>"PR3800003B"</f>
        <v>PR3800003B</v>
      </c>
      <c r="F1329" s="5">
        <v>44652</v>
      </c>
      <c r="G1329" s="5">
        <v>54789</v>
      </c>
      <c r="H1329" s="4" t="str">
        <f>""</f>
        <v/>
      </c>
      <c r="I1329" s="4" t="str">
        <f>""</f>
        <v/>
      </c>
    </row>
    <row r="1330" spans="1:9" x14ac:dyDescent="0.3">
      <c r="A1330" s="1" t="str">
        <f>"38"</f>
        <v>38</v>
      </c>
      <c r="B1330" s="4" t="str">
        <f>"PURFER"</f>
        <v>PURFER</v>
      </c>
      <c r="C1330" s="4">
        <v>332628171</v>
      </c>
      <c r="D1330" s="3" t="s">
        <v>0</v>
      </c>
      <c r="E1330" s="2" t="str">
        <f>"PR3800020D"</f>
        <v>PR3800020D</v>
      </c>
      <c r="F1330" s="5">
        <v>39015</v>
      </c>
      <c r="G1330" s="5">
        <v>54789</v>
      </c>
      <c r="H1330" s="4" t="str">
        <f>""</f>
        <v/>
      </c>
      <c r="I1330" s="4" t="str">
        <f>""</f>
        <v/>
      </c>
    </row>
    <row r="1331" spans="1:9" x14ac:dyDescent="0.3">
      <c r="A1331" s="1" t="str">
        <f>"38"</f>
        <v>38</v>
      </c>
      <c r="B1331" s="4" t="str">
        <f>"PURFER"</f>
        <v>PURFER</v>
      </c>
      <c r="C1331" s="4">
        <v>332628171</v>
      </c>
      <c r="D1331" s="3" t="s">
        <v>0</v>
      </c>
      <c r="E1331" s="2" t="str">
        <f>"PR3800035D"</f>
        <v>PR3800035D</v>
      </c>
      <c r="F1331" s="5">
        <v>41661</v>
      </c>
      <c r="G1331" s="5">
        <v>54789</v>
      </c>
      <c r="H1331" s="4" t="str">
        <f>""</f>
        <v/>
      </c>
      <c r="I1331" s="4" t="str">
        <f>""</f>
        <v/>
      </c>
    </row>
    <row r="1332" spans="1:9" x14ac:dyDescent="0.3">
      <c r="A1332" s="1" t="str">
        <f>"38"</f>
        <v>38</v>
      </c>
      <c r="B1332" s="4" t="str">
        <f>"PURFER"</f>
        <v>PURFER</v>
      </c>
      <c r="C1332" s="4">
        <v>332628171</v>
      </c>
      <c r="D1332" s="3" t="s">
        <v>0</v>
      </c>
      <c r="E1332" s="2" t="str">
        <f>"PR3800036D"</f>
        <v>PR3800036D</v>
      </c>
      <c r="F1332" s="5">
        <v>39489</v>
      </c>
      <c r="G1332" s="5">
        <v>54789</v>
      </c>
      <c r="H1332" s="4" t="str">
        <f>""</f>
        <v/>
      </c>
      <c r="I1332" s="4" t="str">
        <f>""</f>
        <v/>
      </c>
    </row>
    <row r="1333" spans="1:9" x14ac:dyDescent="0.3">
      <c r="A1333" s="1" t="str">
        <f>"38"</f>
        <v>38</v>
      </c>
      <c r="B1333" s="4" t="str">
        <f>"PURFER"</f>
        <v>PURFER</v>
      </c>
      <c r="C1333" s="4">
        <v>332628171</v>
      </c>
      <c r="D1333" s="3" t="s">
        <v>0</v>
      </c>
      <c r="E1333" s="2" t="str">
        <f>"PR3800040D"</f>
        <v>PR3800040D</v>
      </c>
      <c r="F1333" s="5">
        <v>44652</v>
      </c>
      <c r="G1333" s="5">
        <v>54789</v>
      </c>
      <c r="H1333" s="4" t="str">
        <f>""</f>
        <v/>
      </c>
      <c r="I1333" s="4" t="str">
        <f>""</f>
        <v/>
      </c>
    </row>
    <row r="1334" spans="1:9" x14ac:dyDescent="0.3">
      <c r="A1334" s="1" t="str">
        <f>"38"</f>
        <v>38</v>
      </c>
      <c r="B1334" s="4" t="str">
        <f>"PURFER"</f>
        <v>PURFER</v>
      </c>
      <c r="C1334" s="4">
        <v>332628171</v>
      </c>
      <c r="D1334" s="3" t="s">
        <v>0</v>
      </c>
      <c r="E1334" s="2" t="str">
        <f>"PR3800041D"</f>
        <v>PR3800041D</v>
      </c>
      <c r="F1334" s="5">
        <v>44651</v>
      </c>
      <c r="G1334" s="5">
        <v>54789</v>
      </c>
      <c r="H1334" s="4" t="str">
        <f>""</f>
        <v/>
      </c>
      <c r="I1334" s="4" t="str">
        <f>""</f>
        <v/>
      </c>
    </row>
    <row r="1335" spans="1:9" x14ac:dyDescent="0.3">
      <c r="A1335" s="1" t="str">
        <f>"38"</f>
        <v>38</v>
      </c>
      <c r="B1335" s="4" t="str">
        <f>"DEMOLITION AUTOS MOREL JACKY"</f>
        <v>DEMOLITION AUTOS MOREL JACKY</v>
      </c>
      <c r="C1335" s="4">
        <v>332819028</v>
      </c>
      <c r="D1335" s="3" t="s">
        <v>0</v>
      </c>
      <c r="E1335" s="2" t="str">
        <f>"0010400684"</f>
        <v>0010400684</v>
      </c>
      <c r="F1335" s="5">
        <v>43672</v>
      </c>
      <c r="G1335" s="5">
        <v>54789</v>
      </c>
      <c r="H1335" s="4" t="str">
        <f>""</f>
        <v/>
      </c>
      <c r="I1335" s="4" t="str">
        <f>""</f>
        <v/>
      </c>
    </row>
    <row r="1336" spans="1:9" x14ac:dyDescent="0.3">
      <c r="A1336" s="1" t="str">
        <f>"38"</f>
        <v>38</v>
      </c>
      <c r="B1336" s="4" t="str">
        <f>"DEMOLITION AUTOS MOREL JACKY"</f>
        <v>DEMOLITION AUTOS MOREL JACKY</v>
      </c>
      <c r="C1336" s="4">
        <v>332819028</v>
      </c>
      <c r="D1336" s="3" t="s">
        <v>0</v>
      </c>
      <c r="E1336" s="2" t="str">
        <f>"PR3800022D"</f>
        <v>PR3800022D</v>
      </c>
      <c r="F1336" s="5">
        <v>43672</v>
      </c>
      <c r="G1336" s="5">
        <v>54789</v>
      </c>
      <c r="H1336" s="4" t="str">
        <f>""</f>
        <v/>
      </c>
      <c r="I1336" s="4" t="str">
        <f>""</f>
        <v/>
      </c>
    </row>
    <row r="1337" spans="1:9" x14ac:dyDescent="0.3">
      <c r="A1337" s="1" t="str">
        <f>"38"</f>
        <v>38</v>
      </c>
      <c r="B1337" s="4" t="str">
        <f>"ARC EN CIEL RECYCLAGE"</f>
        <v>ARC EN CIEL RECYCLAGE</v>
      </c>
      <c r="C1337" s="4">
        <v>333034973</v>
      </c>
      <c r="D1337" s="3" t="s">
        <v>0</v>
      </c>
      <c r="E1337" s="2" t="str">
        <f>"PR3800011D"</f>
        <v>PR3800011D</v>
      </c>
      <c r="F1337" s="5">
        <v>44741</v>
      </c>
      <c r="G1337" s="5">
        <v>54789</v>
      </c>
      <c r="H1337" s="4" t="str">
        <f>""</f>
        <v/>
      </c>
      <c r="I1337" s="4" t="str">
        <f>""</f>
        <v/>
      </c>
    </row>
    <row r="1338" spans="1:9" x14ac:dyDescent="0.3">
      <c r="A1338" s="1" t="str">
        <f>"38"</f>
        <v>38</v>
      </c>
      <c r="B1338" s="4" t="str">
        <f>"ARC EN CIEL RECYCLAGE"</f>
        <v>ARC EN CIEL RECYCLAGE</v>
      </c>
      <c r="C1338" s="4">
        <v>333034973</v>
      </c>
      <c r="D1338" s="3" t="s">
        <v>0</v>
      </c>
      <c r="E1338" s="2" t="str">
        <f>"0006113988"</f>
        <v>0006113988</v>
      </c>
      <c r="F1338" s="5">
        <v>43020</v>
      </c>
      <c r="G1338" s="5">
        <v>54789</v>
      </c>
      <c r="H1338" s="4" t="str">
        <f>""</f>
        <v/>
      </c>
      <c r="I1338" s="4" t="str">
        <f>""</f>
        <v/>
      </c>
    </row>
    <row r="1339" spans="1:9" x14ac:dyDescent="0.3">
      <c r="A1339" s="1" t="str">
        <f>"38"</f>
        <v>38</v>
      </c>
      <c r="B1339" s="4" t="str">
        <f>"SOCIETE ARC EN CIEL RECYCLAGE"</f>
        <v>SOCIETE ARC EN CIEL RECYCLAGE</v>
      </c>
      <c r="C1339" s="4">
        <v>333034973</v>
      </c>
      <c r="D1339" s="3" t="s">
        <v>0</v>
      </c>
      <c r="E1339" s="2" t="str">
        <f>"0006102985"</f>
        <v>0006102985</v>
      </c>
      <c r="F1339" s="5">
        <v>43546</v>
      </c>
      <c r="G1339" s="5">
        <v>54789</v>
      </c>
      <c r="H1339" s="4" t="str">
        <f>""</f>
        <v/>
      </c>
      <c r="I1339" s="4" t="str">
        <f>""</f>
        <v/>
      </c>
    </row>
    <row r="1340" spans="1:9" x14ac:dyDescent="0.3">
      <c r="A1340" s="1" t="str">
        <f>"38"</f>
        <v>38</v>
      </c>
      <c r="B1340" s="4" t="str">
        <f>"ARC EN CIEL RECYCLAGE"</f>
        <v>ARC EN CIEL RECYCLAGE</v>
      </c>
      <c r="C1340" s="4">
        <v>333034973</v>
      </c>
      <c r="D1340" s="3" t="s">
        <v>0</v>
      </c>
      <c r="E1340" s="2" t="str">
        <f>"PR3800056D"</f>
        <v>PR3800056D</v>
      </c>
      <c r="F1340" s="5">
        <v>45385</v>
      </c>
      <c r="G1340" s="5">
        <v>54789</v>
      </c>
      <c r="H1340" s="4" t="str">
        <f>""</f>
        <v/>
      </c>
      <c r="I1340" s="4" t="str">
        <f>""</f>
        <v/>
      </c>
    </row>
    <row r="1341" spans="1:9" x14ac:dyDescent="0.3">
      <c r="A1341" s="1" t="str">
        <f>"38"</f>
        <v>38</v>
      </c>
      <c r="B1341" s="4" t="str">
        <f>"SOCIETE ARC EN CIEL RECYCLAGE"</f>
        <v>SOCIETE ARC EN CIEL RECYCLAGE</v>
      </c>
      <c r="C1341" s="4">
        <v>333034973</v>
      </c>
      <c r="D1341" s="3" t="s">
        <v>0</v>
      </c>
      <c r="E1341" s="2" t="str">
        <f>"PR3800017D"</f>
        <v>PR3800017D</v>
      </c>
      <c r="F1341" s="5">
        <v>43546</v>
      </c>
      <c r="G1341" s="5">
        <v>54789</v>
      </c>
      <c r="H1341" s="4" t="str">
        <f>""</f>
        <v/>
      </c>
      <c r="I1341" s="4" t="str">
        <f>""</f>
        <v/>
      </c>
    </row>
    <row r="1342" spans="1:9" x14ac:dyDescent="0.3">
      <c r="A1342" s="1" t="str">
        <f>"38"</f>
        <v>38</v>
      </c>
      <c r="B1342" s="4" t="str">
        <f>"ARC EN CIEL RECYCLAGE"</f>
        <v>ARC EN CIEL RECYCLAGE</v>
      </c>
      <c r="C1342" s="4">
        <v>333034973</v>
      </c>
      <c r="D1342" s="3" t="s">
        <v>0</v>
      </c>
      <c r="E1342" s="2" t="str">
        <f>"PR3800049D"</f>
        <v>PR3800049D</v>
      </c>
      <c r="F1342" s="5">
        <v>43020</v>
      </c>
      <c r="G1342" s="5">
        <v>54789</v>
      </c>
      <c r="H1342" s="4" t="str">
        <f>""</f>
        <v/>
      </c>
      <c r="I1342" s="4" t="str">
        <f>""</f>
        <v/>
      </c>
    </row>
    <row r="1343" spans="1:9" x14ac:dyDescent="0.3">
      <c r="A1343" s="1" t="str">
        <f>"38"</f>
        <v>38</v>
      </c>
      <c r="B1343" s="4" t="str">
        <f>"SARL AUTOCASSE BOUVIER"</f>
        <v>SARL AUTOCASSE BOUVIER</v>
      </c>
      <c r="C1343" s="4">
        <v>337808349</v>
      </c>
      <c r="D1343" s="3" t="s">
        <v>0</v>
      </c>
      <c r="E1343" s="2" t="str">
        <f>"0006102834"</f>
        <v>0006102834</v>
      </c>
      <c r="F1343" s="5">
        <v>38905</v>
      </c>
      <c r="G1343" s="5">
        <v>54789</v>
      </c>
      <c r="H1343" s="4" t="str">
        <f>""</f>
        <v/>
      </c>
      <c r="I1343" s="4" t="str">
        <f>""</f>
        <v/>
      </c>
    </row>
    <row r="1344" spans="1:9" x14ac:dyDescent="0.3">
      <c r="A1344" s="1" t="str">
        <f>"38"</f>
        <v>38</v>
      </c>
      <c r="B1344" s="4" t="str">
        <f>"SARL AUTOCASSE BOUVIER"</f>
        <v>SARL AUTOCASSE BOUVIER</v>
      </c>
      <c r="C1344" s="4">
        <v>337808349</v>
      </c>
      <c r="D1344" s="3" t="s">
        <v>0</v>
      </c>
      <c r="E1344" s="2" t="str">
        <f>"PR3800010D"</f>
        <v>PR3800010D</v>
      </c>
      <c r="F1344" s="5">
        <v>38905</v>
      </c>
      <c r="G1344" s="5">
        <v>54789</v>
      </c>
      <c r="H1344" s="4" t="str">
        <f>""</f>
        <v/>
      </c>
      <c r="I1344" s="4" t="str">
        <f>""</f>
        <v/>
      </c>
    </row>
    <row r="1345" spans="1:9" x14ac:dyDescent="0.3">
      <c r="A1345" s="1" t="str">
        <f>"38"</f>
        <v>38</v>
      </c>
      <c r="B1345" s="4" t="str">
        <f>"SOCIETE ROGER GOUVERNAYRE ET FILS"</f>
        <v>SOCIETE ROGER GOUVERNAYRE ET FILS</v>
      </c>
      <c r="C1345" s="4">
        <v>340126317</v>
      </c>
      <c r="D1345" s="3" t="s">
        <v>0</v>
      </c>
      <c r="E1345" s="2" t="str">
        <f>"0006110330"</f>
        <v>0006110330</v>
      </c>
      <c r="F1345" s="5">
        <v>38905</v>
      </c>
      <c r="G1345" s="5">
        <v>54789</v>
      </c>
      <c r="H1345" s="4" t="str">
        <f>""</f>
        <v/>
      </c>
      <c r="I1345" s="4" t="str">
        <f>""</f>
        <v/>
      </c>
    </row>
    <row r="1346" spans="1:9" x14ac:dyDescent="0.3">
      <c r="A1346" s="1" t="str">
        <f>"38"</f>
        <v>38</v>
      </c>
      <c r="B1346" s="4" t="str">
        <f>"SOCIETE AUTO PIECES VOIRONNAISE"</f>
        <v>SOCIETE AUTO PIECES VOIRONNAISE</v>
      </c>
      <c r="C1346" s="4">
        <v>344860473</v>
      </c>
      <c r="D1346" s="3" t="s">
        <v>0</v>
      </c>
      <c r="E1346" s="2" t="str">
        <f>"0006103127"</f>
        <v>0006103127</v>
      </c>
      <c r="F1346" s="5">
        <v>41256</v>
      </c>
      <c r="G1346" s="5">
        <v>54789</v>
      </c>
      <c r="H1346" s="4" t="str">
        <f>""</f>
        <v/>
      </c>
      <c r="I1346" s="4" t="str">
        <f>""</f>
        <v/>
      </c>
    </row>
    <row r="1347" spans="1:9" x14ac:dyDescent="0.3">
      <c r="A1347" s="1" t="str">
        <f>"38"</f>
        <v>38</v>
      </c>
      <c r="B1347" s="4" t="str">
        <f>"SOCIETE AUTO PIECES VOIRONNAISE"</f>
        <v>SOCIETE AUTO PIECES VOIRONNAISE</v>
      </c>
      <c r="C1347" s="4">
        <v>344860473</v>
      </c>
      <c r="D1347" s="3" t="s">
        <v>0</v>
      </c>
      <c r="E1347" s="2" t="str">
        <f>"PR3800016D"</f>
        <v>PR3800016D</v>
      </c>
      <c r="F1347" s="5">
        <v>41256</v>
      </c>
      <c r="G1347" s="5">
        <v>54789</v>
      </c>
      <c r="H1347" s="4" t="str">
        <f>""</f>
        <v/>
      </c>
      <c r="I1347" s="4" t="str">
        <f>""</f>
        <v/>
      </c>
    </row>
    <row r="1348" spans="1:9" x14ac:dyDescent="0.3">
      <c r="A1348" s="1" t="str">
        <f>"38"</f>
        <v>38</v>
      </c>
      <c r="B1348" s="4" t="str">
        <f>"JPS INVESTISSEMENT SARL"</f>
        <v>JPS INVESTISSEMENT SARL</v>
      </c>
      <c r="C1348" s="4">
        <v>349605816</v>
      </c>
      <c r="D1348" s="3" t="s">
        <v>0</v>
      </c>
      <c r="E1348" s="2" t="str">
        <f>"0010400555"</f>
        <v>0010400555</v>
      </c>
      <c r="F1348" s="5">
        <v>44762</v>
      </c>
      <c r="G1348" s="5">
        <v>54789</v>
      </c>
      <c r="H1348" s="4" t="str">
        <f>""</f>
        <v/>
      </c>
      <c r="I1348" s="4" t="str">
        <f>""</f>
        <v/>
      </c>
    </row>
    <row r="1349" spans="1:9" x14ac:dyDescent="0.3">
      <c r="A1349" s="1" t="str">
        <f>"38"</f>
        <v>38</v>
      </c>
      <c r="B1349" s="4" t="str">
        <f>"JPS INVESTISSEMENT SARL"</f>
        <v>JPS INVESTISSEMENT SARL</v>
      </c>
      <c r="C1349" s="4">
        <v>349605816</v>
      </c>
      <c r="D1349" s="3" t="s">
        <v>0</v>
      </c>
      <c r="E1349" s="2" t="str">
        <f>"PR3800053D"</f>
        <v>PR3800053D</v>
      </c>
      <c r="F1349" s="5">
        <v>44762</v>
      </c>
      <c r="G1349" s="5">
        <v>54789</v>
      </c>
      <c r="H1349" s="4" t="str">
        <f>""</f>
        <v/>
      </c>
      <c r="I1349" s="4" t="str">
        <f>""</f>
        <v/>
      </c>
    </row>
    <row r="1350" spans="1:9" x14ac:dyDescent="0.3">
      <c r="A1350" s="1" t="str">
        <f>"38"</f>
        <v>38</v>
      </c>
      <c r="B1350" s="4" t="str">
        <f>"SARL DAD"</f>
        <v>SARL DAD</v>
      </c>
      <c r="C1350" s="4">
        <v>350372314</v>
      </c>
      <c r="D1350" s="3" t="s">
        <v>0</v>
      </c>
      <c r="E1350" s="2" t="str">
        <f>"0006103251"</f>
        <v>0006103251</v>
      </c>
      <c r="F1350" s="5">
        <v>39017</v>
      </c>
      <c r="G1350" s="5">
        <v>54789</v>
      </c>
      <c r="H1350" s="4" t="str">
        <f>""</f>
        <v/>
      </c>
      <c r="I1350" s="4" t="str">
        <f>""</f>
        <v/>
      </c>
    </row>
    <row r="1351" spans="1:9" x14ac:dyDescent="0.3">
      <c r="A1351" s="1" t="str">
        <f>"38"</f>
        <v>38</v>
      </c>
      <c r="B1351" s="4" t="str">
        <f>"SARL DAD"</f>
        <v>SARL DAD</v>
      </c>
      <c r="C1351" s="4">
        <v>350372314</v>
      </c>
      <c r="D1351" s="3" t="s">
        <v>0</v>
      </c>
      <c r="E1351" s="2" t="str">
        <f>"PR3800021D"</f>
        <v>PR3800021D</v>
      </c>
      <c r="F1351" s="5">
        <v>39017</v>
      </c>
      <c r="G1351" s="5">
        <v>54789</v>
      </c>
      <c r="H1351" s="4" t="str">
        <f>""</f>
        <v/>
      </c>
      <c r="I1351" s="4" t="str">
        <f>""</f>
        <v/>
      </c>
    </row>
    <row r="1352" spans="1:9" x14ac:dyDescent="0.3">
      <c r="A1352" s="1" t="str">
        <f>"38"</f>
        <v>38</v>
      </c>
      <c r="B1352" s="4" t="str">
        <f>"AUTO SCRATCH MORALES"</f>
        <v>AUTO SCRATCH MORALES</v>
      </c>
      <c r="C1352" s="4">
        <v>351620273</v>
      </c>
      <c r="D1352" s="3" t="s">
        <v>0</v>
      </c>
      <c r="E1352" s="2" t="str">
        <f>"0010400269"</f>
        <v>0010400269</v>
      </c>
      <c r="F1352" s="5">
        <v>38898</v>
      </c>
      <c r="G1352" s="5">
        <v>54789</v>
      </c>
      <c r="H1352" s="4" t="str">
        <f>""</f>
        <v/>
      </c>
      <c r="I1352" s="4" t="str">
        <f>""</f>
        <v/>
      </c>
    </row>
    <row r="1353" spans="1:9" x14ac:dyDescent="0.3">
      <c r="A1353" s="1" t="str">
        <f>"38"</f>
        <v>38</v>
      </c>
      <c r="B1353" s="4" t="str">
        <f>"AUTO SCRATCH MORALES"</f>
        <v>AUTO SCRATCH MORALES</v>
      </c>
      <c r="C1353" s="4">
        <v>351620273</v>
      </c>
      <c r="D1353" s="3" t="s">
        <v>0</v>
      </c>
      <c r="E1353" s="2" t="str">
        <f>"PR3800009D"</f>
        <v>PR3800009D</v>
      </c>
      <c r="F1353" s="5">
        <v>38898</v>
      </c>
      <c r="G1353" s="5">
        <v>54789</v>
      </c>
      <c r="H1353" s="4" t="str">
        <f>""</f>
        <v/>
      </c>
      <c r="I1353" s="4" t="str">
        <f>""</f>
        <v/>
      </c>
    </row>
    <row r="1354" spans="1:9" x14ac:dyDescent="0.3">
      <c r="A1354" s="1" t="str">
        <f>"38"</f>
        <v>38</v>
      </c>
      <c r="B1354" s="4" t="str">
        <f>"SARL DEMOLITION AUTO MARION"</f>
        <v>SARL DEMOLITION AUTO MARION</v>
      </c>
      <c r="C1354" s="4">
        <v>351649587</v>
      </c>
      <c r="D1354" s="3" t="s">
        <v>0</v>
      </c>
      <c r="E1354" s="2" t="str">
        <f>"0010400683"</f>
        <v>0010400683</v>
      </c>
      <c r="F1354" s="5">
        <v>39045</v>
      </c>
      <c r="G1354" s="5">
        <v>54789</v>
      </c>
      <c r="H1354" s="4" t="str">
        <f>""</f>
        <v/>
      </c>
      <c r="I1354" s="4" t="str">
        <f>""</f>
        <v/>
      </c>
    </row>
    <row r="1355" spans="1:9" x14ac:dyDescent="0.3">
      <c r="A1355" s="1" t="str">
        <f>"38"</f>
        <v>38</v>
      </c>
      <c r="B1355" s="4" t="str">
        <f>"SARL DEMOLITION AUTO MARION"</f>
        <v>SARL DEMOLITION AUTO MARION</v>
      </c>
      <c r="C1355" s="4">
        <v>351649587</v>
      </c>
      <c r="D1355" s="3" t="s">
        <v>0</v>
      </c>
      <c r="E1355" s="2" t="str">
        <f>"PR3800024D"</f>
        <v>PR3800024D</v>
      </c>
      <c r="F1355" s="5">
        <v>39045</v>
      </c>
      <c r="G1355" s="5">
        <v>54789</v>
      </c>
      <c r="H1355" s="4" t="str">
        <f>""</f>
        <v/>
      </c>
      <c r="I1355" s="4" t="str">
        <f>""</f>
        <v/>
      </c>
    </row>
    <row r="1356" spans="1:9" x14ac:dyDescent="0.3">
      <c r="A1356" s="1" t="str">
        <f>"38"</f>
        <v>38</v>
      </c>
      <c r="B1356" s="4" t="str">
        <f>"RIVIERE DIFFUSION"</f>
        <v>RIVIERE DIFFUSION</v>
      </c>
      <c r="C1356" s="4">
        <v>353272800</v>
      </c>
      <c r="D1356" s="3" t="s">
        <v>0</v>
      </c>
      <c r="E1356" s="2" t="str">
        <f>"0003202612"</f>
        <v>0003202612</v>
      </c>
      <c r="F1356" s="5">
        <v>43636</v>
      </c>
      <c r="G1356" s="5">
        <v>54789</v>
      </c>
      <c r="H1356" s="4" t="str">
        <f>""</f>
        <v/>
      </c>
      <c r="I1356" s="4" t="str">
        <f>""</f>
        <v/>
      </c>
    </row>
    <row r="1357" spans="1:9" x14ac:dyDescent="0.3">
      <c r="A1357" s="1" t="str">
        <f>"38"</f>
        <v>38</v>
      </c>
      <c r="B1357" s="4" t="str">
        <f>"RIVIERE DIFFUSION"</f>
        <v>RIVIERE DIFFUSION</v>
      </c>
      <c r="C1357" s="4">
        <v>353272800</v>
      </c>
      <c r="D1357" s="3" t="s">
        <v>0</v>
      </c>
      <c r="E1357" s="2" t="str">
        <f>"PR3800051D"</f>
        <v>PR3800051D</v>
      </c>
      <c r="F1357" s="5">
        <v>43636</v>
      </c>
      <c r="G1357" s="5">
        <v>54789</v>
      </c>
      <c r="H1357" s="4" t="str">
        <f>""</f>
        <v/>
      </c>
      <c r="I1357" s="4" t="str">
        <f>""</f>
        <v/>
      </c>
    </row>
    <row r="1358" spans="1:9" x14ac:dyDescent="0.3">
      <c r="A1358" s="1" t="str">
        <f>"38"</f>
        <v>38</v>
      </c>
      <c r="B1358" s="4" t="str">
        <f>"SARL JIMMY AUTO"</f>
        <v>SARL JIMMY AUTO</v>
      </c>
      <c r="C1358" s="4">
        <v>378979975</v>
      </c>
      <c r="D1358" s="3" t="s">
        <v>0</v>
      </c>
      <c r="E1358" s="2" t="str">
        <f>"0006107617"</f>
        <v>0006107617</v>
      </c>
      <c r="F1358" s="5">
        <v>41571</v>
      </c>
      <c r="G1358" s="5">
        <v>54789</v>
      </c>
      <c r="H1358" s="4" t="str">
        <f>""</f>
        <v/>
      </c>
      <c r="I1358" s="4" t="str">
        <f>""</f>
        <v/>
      </c>
    </row>
    <row r="1359" spans="1:9" x14ac:dyDescent="0.3">
      <c r="A1359" s="1" t="str">
        <f>"38"</f>
        <v>38</v>
      </c>
      <c r="B1359" s="4" t="str">
        <f>"SARL JIMMY AUTO"</f>
        <v>SARL JIMMY AUTO</v>
      </c>
      <c r="C1359" s="4">
        <v>378979975</v>
      </c>
      <c r="D1359" s="3" t="s">
        <v>0</v>
      </c>
      <c r="E1359" s="2" t="str">
        <f>"PR3800032D"</f>
        <v>PR3800032D</v>
      </c>
      <c r="F1359" s="5">
        <v>41571</v>
      </c>
      <c r="G1359" s="5">
        <v>54789</v>
      </c>
      <c r="H1359" s="4" t="str">
        <f>""</f>
        <v/>
      </c>
      <c r="I1359" s="4" t="str">
        <f>""</f>
        <v/>
      </c>
    </row>
    <row r="1360" spans="1:9" x14ac:dyDescent="0.3">
      <c r="A1360" s="1" t="str">
        <f>"38"</f>
        <v>38</v>
      </c>
      <c r="B1360" s="4" t="str">
        <f>"CHAVANOZ AUTO PIECES CALARD BRUNO"</f>
        <v>CHAVANOZ AUTO PIECES CALARD BRUNO</v>
      </c>
      <c r="C1360" s="4">
        <v>381752617</v>
      </c>
      <c r="D1360" s="3" t="s">
        <v>0</v>
      </c>
      <c r="E1360" s="2" t="str">
        <f>"0006102865"</f>
        <v>0006102865</v>
      </c>
      <c r="F1360" s="5">
        <v>43685</v>
      </c>
      <c r="G1360" s="5">
        <v>54789</v>
      </c>
      <c r="H1360" s="4" t="str">
        <f>""</f>
        <v/>
      </c>
      <c r="I1360" s="4" t="str">
        <f>""</f>
        <v/>
      </c>
    </row>
    <row r="1361" spans="1:9" x14ac:dyDescent="0.3">
      <c r="A1361" s="1" t="str">
        <f>"38"</f>
        <v>38</v>
      </c>
      <c r="B1361" s="4" t="str">
        <f>"CHAVANOZ AUTO PIECES CALARD BRUNO"</f>
        <v>CHAVANOZ AUTO PIECES CALARD BRUNO</v>
      </c>
      <c r="C1361" s="4">
        <v>381752617</v>
      </c>
      <c r="D1361" s="3" t="s">
        <v>0</v>
      </c>
      <c r="E1361" s="2" t="str">
        <f>"PR3800031D"</f>
        <v>PR3800031D</v>
      </c>
      <c r="F1361" s="5">
        <v>43685</v>
      </c>
      <c r="G1361" s="5">
        <v>54789</v>
      </c>
      <c r="H1361" s="4" t="str">
        <f>""</f>
        <v/>
      </c>
      <c r="I1361" s="4" t="str">
        <f>""</f>
        <v/>
      </c>
    </row>
    <row r="1362" spans="1:9" x14ac:dyDescent="0.3">
      <c r="A1362" s="1" t="str">
        <f>"38"</f>
        <v>38</v>
      </c>
      <c r="B1362" s="4" t="str">
        <f>"SARL SOREVAC"</f>
        <v>SARL SOREVAC</v>
      </c>
      <c r="C1362" s="4">
        <v>383053733</v>
      </c>
      <c r="D1362" s="3" t="s">
        <v>0</v>
      </c>
      <c r="E1362" s="2" t="str">
        <f>"0006102861"</f>
        <v>0006102861</v>
      </c>
      <c r="F1362" s="5">
        <v>39045</v>
      </c>
      <c r="G1362" s="5">
        <v>54789</v>
      </c>
      <c r="H1362" s="4" t="str">
        <f>""</f>
        <v/>
      </c>
      <c r="I1362" s="4" t="str">
        <f>""</f>
        <v/>
      </c>
    </row>
    <row r="1363" spans="1:9" x14ac:dyDescent="0.3">
      <c r="A1363" s="1" t="str">
        <f>"38"</f>
        <v>38</v>
      </c>
      <c r="B1363" s="4" t="str">
        <f>"SARL SOREVAC"</f>
        <v>SARL SOREVAC</v>
      </c>
      <c r="C1363" s="4">
        <v>383053733</v>
      </c>
      <c r="D1363" s="3" t="s">
        <v>0</v>
      </c>
      <c r="E1363" s="2" t="str">
        <f>"PR3800023D"</f>
        <v>PR3800023D</v>
      </c>
      <c r="F1363" s="5">
        <v>39045</v>
      </c>
      <c r="G1363" s="5">
        <v>54789</v>
      </c>
      <c r="H1363" s="4" t="str">
        <f>""</f>
        <v/>
      </c>
      <c r="I1363" s="4" t="str">
        <f>""</f>
        <v/>
      </c>
    </row>
    <row r="1364" spans="1:9" x14ac:dyDescent="0.3">
      <c r="A1364" s="1" t="str">
        <f>"38"</f>
        <v>38</v>
      </c>
      <c r="B1364" s="4" t="str">
        <f>"MULTISERVICES SARL"</f>
        <v>MULTISERVICES SARL</v>
      </c>
      <c r="C1364" s="4">
        <v>384438289</v>
      </c>
      <c r="D1364" s="3" t="s">
        <v>0</v>
      </c>
      <c r="E1364" s="2" t="str">
        <f>"0006102942"</f>
        <v>0006102942</v>
      </c>
      <c r="F1364" s="5">
        <v>38876</v>
      </c>
      <c r="G1364" s="5">
        <v>54789</v>
      </c>
      <c r="H1364" s="4" t="str">
        <f>""</f>
        <v/>
      </c>
      <c r="I1364" s="4" t="str">
        <f>""</f>
        <v/>
      </c>
    </row>
    <row r="1365" spans="1:9" x14ac:dyDescent="0.3">
      <c r="A1365" s="1" t="str">
        <f>"38"</f>
        <v>38</v>
      </c>
      <c r="B1365" s="4" t="str">
        <f>"MULTISERVICES SARL"</f>
        <v>MULTISERVICES SARL</v>
      </c>
      <c r="C1365" s="4">
        <v>384438289</v>
      </c>
      <c r="D1365" s="3" t="s">
        <v>0</v>
      </c>
      <c r="E1365" s="2" t="str">
        <f>"PR3800007D"</f>
        <v>PR3800007D</v>
      </c>
      <c r="F1365" s="5">
        <v>38876</v>
      </c>
      <c r="G1365" s="5">
        <v>54789</v>
      </c>
      <c r="H1365" s="4" t="str">
        <f>""</f>
        <v/>
      </c>
      <c r="I1365" s="4" t="str">
        <f>""</f>
        <v/>
      </c>
    </row>
    <row r="1366" spans="1:9" x14ac:dyDescent="0.3">
      <c r="A1366" s="1" t="str">
        <f>"38"</f>
        <v>38</v>
      </c>
      <c r="B1366" s="4" t="str">
        <f>"AUTOLOYD"</f>
        <v>AUTOLOYD</v>
      </c>
      <c r="C1366" s="4">
        <v>391529039</v>
      </c>
      <c r="D1366" s="3" t="s">
        <v>0</v>
      </c>
      <c r="E1366" s="2" t="str">
        <f>"0003201611"</f>
        <v>0003201611</v>
      </c>
      <c r="F1366" s="5">
        <v>43171</v>
      </c>
      <c r="G1366" s="5">
        <v>54789</v>
      </c>
      <c r="H1366" s="4" t="str">
        <f>""</f>
        <v/>
      </c>
      <c r="I1366" s="4" t="str">
        <f>""</f>
        <v/>
      </c>
    </row>
    <row r="1367" spans="1:9" x14ac:dyDescent="0.3">
      <c r="A1367" s="1" t="str">
        <f>"38"</f>
        <v>38</v>
      </c>
      <c r="B1367" s="4" t="str">
        <f>"AUTOLOYD"</f>
        <v>AUTOLOYD</v>
      </c>
      <c r="C1367" s="4">
        <v>391529039</v>
      </c>
      <c r="D1367" s="3" t="s">
        <v>0</v>
      </c>
      <c r="E1367" s="2" t="str">
        <f>"PR3800050D"</f>
        <v>PR3800050D</v>
      </c>
      <c r="F1367" s="5">
        <v>43171</v>
      </c>
      <c r="G1367" s="5">
        <v>54789</v>
      </c>
      <c r="H1367" s="4" t="str">
        <f>""</f>
        <v/>
      </c>
      <c r="I1367" s="4" t="str">
        <f>""</f>
        <v/>
      </c>
    </row>
    <row r="1368" spans="1:9" x14ac:dyDescent="0.3">
      <c r="A1368" s="1" t="str">
        <f>"38"</f>
        <v>38</v>
      </c>
      <c r="B1368" s="4" t="str">
        <f>"DECONSTRUCTION AUTO VILLETON"</f>
        <v>DECONSTRUCTION AUTO VILLETON</v>
      </c>
      <c r="C1368" s="4">
        <v>392060349</v>
      </c>
      <c r="D1368" s="3" t="s">
        <v>0</v>
      </c>
      <c r="E1368" s="2" t="str">
        <f>"0010400646"</f>
        <v>0010400646</v>
      </c>
      <c r="F1368" s="5">
        <v>41976</v>
      </c>
      <c r="G1368" s="5">
        <v>54789</v>
      </c>
      <c r="H1368" s="4" t="str">
        <f>""</f>
        <v/>
      </c>
      <c r="I1368" s="4" t="str">
        <f>""</f>
        <v/>
      </c>
    </row>
    <row r="1369" spans="1:9" x14ac:dyDescent="0.3">
      <c r="A1369" s="1" t="str">
        <f>"38"</f>
        <v>38</v>
      </c>
      <c r="B1369" s="4" t="str">
        <f>"DECONSTRUCTION AUTO VILLETON"</f>
        <v>DECONSTRUCTION AUTO VILLETON</v>
      </c>
      <c r="C1369" s="4">
        <v>392060349</v>
      </c>
      <c r="D1369" s="3" t="s">
        <v>0</v>
      </c>
      <c r="E1369" s="2" t="str">
        <f>"PR3800039D"</f>
        <v>PR3800039D</v>
      </c>
      <c r="F1369" s="5">
        <v>41976</v>
      </c>
      <c r="G1369" s="5">
        <v>54789</v>
      </c>
      <c r="H1369" s="4" t="str">
        <f>""</f>
        <v/>
      </c>
      <c r="I1369" s="4" t="str">
        <f>""</f>
        <v/>
      </c>
    </row>
    <row r="1370" spans="1:9" x14ac:dyDescent="0.3">
      <c r="A1370" s="1" t="str">
        <f>"38"</f>
        <v>38</v>
      </c>
      <c r="B1370" s="4" t="str">
        <f>"SOCIETE GRENOBLE DEPANNAGE ASSISTANCE"</f>
        <v>SOCIETE GRENOBLE DEPANNAGE ASSISTANCE</v>
      </c>
      <c r="C1370" s="4">
        <v>392782389</v>
      </c>
      <c r="D1370" s="3" t="s">
        <v>0</v>
      </c>
      <c r="E1370" s="2" t="str">
        <f>"0006102930"</f>
        <v>0006102930</v>
      </c>
      <c r="F1370" s="5">
        <v>41845</v>
      </c>
      <c r="G1370" s="5">
        <v>54789</v>
      </c>
      <c r="H1370" s="4" t="str">
        <f>""</f>
        <v/>
      </c>
      <c r="I1370" s="4" t="str">
        <f>""</f>
        <v/>
      </c>
    </row>
    <row r="1371" spans="1:9" x14ac:dyDescent="0.3">
      <c r="A1371" s="1" t="str">
        <f>"38"</f>
        <v>38</v>
      </c>
      <c r="B1371" s="4" t="str">
        <f>"SOCIETE GRENOBLE DEPANNAGE ASSISTANCE"</f>
        <v>SOCIETE GRENOBLE DEPANNAGE ASSISTANCE</v>
      </c>
      <c r="C1371" s="4">
        <v>392782389</v>
      </c>
      <c r="D1371" s="3" t="s">
        <v>0</v>
      </c>
      <c r="E1371" s="2" t="str">
        <f>"PR3800045D"</f>
        <v>PR3800045D</v>
      </c>
      <c r="F1371" s="5">
        <v>41845</v>
      </c>
      <c r="G1371" s="5">
        <v>54789</v>
      </c>
      <c r="H1371" s="4" t="str">
        <f>""</f>
        <v/>
      </c>
      <c r="I1371" s="4" t="str">
        <f>""</f>
        <v/>
      </c>
    </row>
    <row r="1372" spans="1:9" x14ac:dyDescent="0.3">
      <c r="A1372" s="1" t="str">
        <f>"38"</f>
        <v>38</v>
      </c>
      <c r="B1372" s="4" t="str">
        <f>"SARL L'ALOUETTE AUTO PIECES"</f>
        <v>SARL L'ALOUETTE AUTO PIECES</v>
      </c>
      <c r="C1372" s="4">
        <v>393794193</v>
      </c>
      <c r="D1372" s="3" t="s">
        <v>0</v>
      </c>
      <c r="E1372" s="2" t="str">
        <f>"0010400064"</f>
        <v>0010400064</v>
      </c>
      <c r="F1372" s="5">
        <v>41631</v>
      </c>
      <c r="G1372" s="5">
        <v>54789</v>
      </c>
      <c r="H1372" s="4" t="str">
        <f>""</f>
        <v/>
      </c>
      <c r="I1372" s="4" t="str">
        <f>""</f>
        <v/>
      </c>
    </row>
    <row r="1373" spans="1:9" x14ac:dyDescent="0.3">
      <c r="A1373" s="1" t="str">
        <f>"38"</f>
        <v>38</v>
      </c>
      <c r="B1373" s="4" t="str">
        <f>"SARL L'ALOUETTE AUTO PIECES"</f>
        <v>SARL L'ALOUETTE AUTO PIECES</v>
      </c>
      <c r="C1373" s="4">
        <v>393794193</v>
      </c>
      <c r="D1373" s="3" t="s">
        <v>0</v>
      </c>
      <c r="E1373" s="2" t="str">
        <f>"PR3800034D"</f>
        <v>PR3800034D</v>
      </c>
      <c r="F1373" s="5">
        <v>41631</v>
      </c>
      <c r="G1373" s="5">
        <v>54789</v>
      </c>
      <c r="H1373" s="4" t="str">
        <f>""</f>
        <v/>
      </c>
      <c r="I1373" s="4" t="str">
        <f>""</f>
        <v/>
      </c>
    </row>
    <row r="1374" spans="1:9" x14ac:dyDescent="0.3">
      <c r="A1374" s="1" t="str">
        <f>"38"</f>
        <v>38</v>
      </c>
      <c r="B1374" s="4" t="str">
        <f>"INDRA SAS"</f>
        <v>INDRA SAS</v>
      </c>
      <c r="C1374" s="4">
        <v>400641296</v>
      </c>
      <c r="D1374" s="3" t="s">
        <v>0</v>
      </c>
      <c r="E1374" s="2" t="str">
        <f>"0006103199"</f>
        <v>0006103199</v>
      </c>
      <c r="F1374" s="5">
        <v>43095</v>
      </c>
      <c r="G1374" s="5">
        <v>54789</v>
      </c>
      <c r="H1374" s="4" t="str">
        <f>""</f>
        <v/>
      </c>
      <c r="I1374" s="4" t="str">
        <f>""</f>
        <v/>
      </c>
    </row>
    <row r="1375" spans="1:9" x14ac:dyDescent="0.3">
      <c r="A1375" s="1" t="str">
        <f>"38"</f>
        <v>38</v>
      </c>
      <c r="B1375" s="4" t="str">
        <f>"INDRA SAS"</f>
        <v>INDRA SAS</v>
      </c>
      <c r="C1375" s="4">
        <v>400641296</v>
      </c>
      <c r="D1375" s="3" t="s">
        <v>0</v>
      </c>
      <c r="E1375" s="2" t="str">
        <f>"PR3800001D"</f>
        <v>PR3800001D</v>
      </c>
      <c r="F1375" s="5">
        <v>43095</v>
      </c>
      <c r="G1375" s="5">
        <v>54789</v>
      </c>
      <c r="H1375" s="4" t="str">
        <f>""</f>
        <v/>
      </c>
      <c r="I1375" s="4" t="str">
        <f>""</f>
        <v/>
      </c>
    </row>
    <row r="1376" spans="1:9" x14ac:dyDescent="0.3">
      <c r="A1376" s="1" t="str">
        <f>"38"</f>
        <v>38</v>
      </c>
      <c r="B1376" s="4" t="str">
        <f>"PIEC AUTO"</f>
        <v>PIEC AUTO</v>
      </c>
      <c r="C1376" s="4">
        <v>421104225</v>
      </c>
      <c r="D1376" s="3" t="s">
        <v>0</v>
      </c>
      <c r="E1376" s="2" t="str">
        <f>"PR3800006D"</f>
        <v>PR3800006D</v>
      </c>
      <c r="F1376" s="5">
        <v>42002</v>
      </c>
      <c r="G1376" s="5">
        <v>54789</v>
      </c>
      <c r="H1376" s="4" t="str">
        <f>""</f>
        <v/>
      </c>
      <c r="I1376" s="4" t="str">
        <f>""</f>
        <v/>
      </c>
    </row>
    <row r="1377" spans="1:9" x14ac:dyDescent="0.3">
      <c r="A1377" s="1" t="str">
        <f>"38"</f>
        <v>38</v>
      </c>
      <c r="B1377" s="4" t="str">
        <f>"VACHEZ INDUSTRIE"</f>
        <v>VACHEZ INDUSTRIE</v>
      </c>
      <c r="C1377" s="4">
        <v>421195736</v>
      </c>
      <c r="D1377" s="3" t="s">
        <v>0</v>
      </c>
      <c r="E1377" s="2" t="str">
        <f>"0010400065"</f>
        <v>0010400065</v>
      </c>
      <c r="F1377" s="5">
        <v>41976</v>
      </c>
      <c r="G1377" s="5">
        <v>54789</v>
      </c>
      <c r="H1377" s="4" t="str">
        <f>""</f>
        <v/>
      </c>
      <c r="I1377" s="4" t="str">
        <f>""</f>
        <v/>
      </c>
    </row>
    <row r="1378" spans="1:9" x14ac:dyDescent="0.3">
      <c r="A1378" s="1" t="str">
        <f>"38"</f>
        <v>38</v>
      </c>
      <c r="B1378" s="4" t="str">
        <f>"VACHEZ INDUSTRIE"</f>
        <v>VACHEZ INDUSTRIE</v>
      </c>
      <c r="C1378" s="4">
        <v>421195736</v>
      </c>
      <c r="D1378" s="3" t="s">
        <v>0</v>
      </c>
      <c r="E1378" s="2" t="str">
        <f>"PR3800038D"</f>
        <v>PR3800038D</v>
      </c>
      <c r="F1378" s="5">
        <v>41976</v>
      </c>
      <c r="G1378" s="5">
        <v>54789</v>
      </c>
      <c r="H1378" s="4" t="str">
        <f>""</f>
        <v/>
      </c>
      <c r="I1378" s="4" t="str">
        <f>""</f>
        <v/>
      </c>
    </row>
    <row r="1379" spans="1:9" x14ac:dyDescent="0.3">
      <c r="A1379" s="1" t="str">
        <f>"38"</f>
        <v>38</v>
      </c>
      <c r="B1379" s="4" t="str">
        <f>"ENTREPRISE GUYONNET"</f>
        <v>ENTREPRISE GUYONNET</v>
      </c>
      <c r="C1379" s="4">
        <v>422861633</v>
      </c>
      <c r="D1379" s="3" t="s">
        <v>0</v>
      </c>
      <c r="E1379" s="2" t="str">
        <f>"0010400339"</f>
        <v>0010400339</v>
      </c>
      <c r="F1379" s="5">
        <v>40939</v>
      </c>
      <c r="G1379" s="5">
        <v>54789</v>
      </c>
      <c r="H1379" s="4" t="str">
        <f>""</f>
        <v/>
      </c>
      <c r="I1379" s="4" t="str">
        <f>""</f>
        <v/>
      </c>
    </row>
    <row r="1380" spans="1:9" x14ac:dyDescent="0.3">
      <c r="A1380" s="1" t="str">
        <f>"38"</f>
        <v>38</v>
      </c>
      <c r="B1380" s="4" t="str">
        <f>"ENTREPRISE GUYONNET"</f>
        <v>ENTREPRISE GUYONNET</v>
      </c>
      <c r="C1380" s="4">
        <v>422861633</v>
      </c>
      <c r="D1380" s="3" t="s">
        <v>0</v>
      </c>
      <c r="E1380" s="2" t="str">
        <f>"PR3800044D"</f>
        <v>PR3800044D</v>
      </c>
      <c r="F1380" s="5">
        <v>40939</v>
      </c>
      <c r="G1380" s="5">
        <v>54789</v>
      </c>
      <c r="H1380" s="4" t="str">
        <f>""</f>
        <v/>
      </c>
      <c r="I1380" s="4" t="str">
        <f>""</f>
        <v/>
      </c>
    </row>
    <row r="1381" spans="1:9" x14ac:dyDescent="0.3">
      <c r="A1381" s="1" t="str">
        <f>"38"</f>
        <v>38</v>
      </c>
      <c r="B1381" s="4" t="str">
        <f>"SOCIETE AUTO VERTE"</f>
        <v>SOCIETE AUTO VERTE</v>
      </c>
      <c r="C1381" s="4">
        <v>428753826</v>
      </c>
      <c r="D1381" s="3" t="s">
        <v>0</v>
      </c>
      <c r="E1381" s="2" t="str">
        <f>"0010400008"</f>
        <v>0010400008</v>
      </c>
      <c r="F1381" s="5">
        <v>39107</v>
      </c>
      <c r="G1381" s="5">
        <v>54789</v>
      </c>
      <c r="H1381" s="4" t="str">
        <f>""</f>
        <v/>
      </c>
      <c r="I1381" s="4" t="str">
        <f>""</f>
        <v/>
      </c>
    </row>
    <row r="1382" spans="1:9" x14ac:dyDescent="0.3">
      <c r="A1382" s="1" t="str">
        <f>"38"</f>
        <v>38</v>
      </c>
      <c r="B1382" s="4" t="str">
        <f>"SOCIETE AUTO VERTE"</f>
        <v>SOCIETE AUTO VERTE</v>
      </c>
      <c r="C1382" s="4">
        <v>428753826</v>
      </c>
      <c r="D1382" s="3" t="s">
        <v>0</v>
      </c>
      <c r="E1382" s="2" t="str">
        <f>"PR3800028D"</f>
        <v>PR3800028D</v>
      </c>
      <c r="F1382" s="5">
        <v>39107</v>
      </c>
      <c r="G1382" s="5">
        <v>54789</v>
      </c>
      <c r="H1382" s="4" t="str">
        <f>""</f>
        <v/>
      </c>
      <c r="I1382" s="4" t="str">
        <f>""</f>
        <v/>
      </c>
    </row>
    <row r="1383" spans="1:9" x14ac:dyDescent="0.3">
      <c r="A1383" s="1" t="str">
        <f>"38"</f>
        <v>38</v>
      </c>
      <c r="B1383" s="4" t="str">
        <f>"SARL BRET-DREVON"</f>
        <v>SARL BRET-DREVON</v>
      </c>
      <c r="C1383" s="4">
        <v>479683757</v>
      </c>
      <c r="D1383" s="3" t="s">
        <v>0</v>
      </c>
      <c r="E1383" s="2" t="str">
        <f>"0006113092"</f>
        <v>0006113092</v>
      </c>
      <c r="F1383" s="5">
        <v>42822</v>
      </c>
      <c r="G1383" s="5">
        <v>54789</v>
      </c>
      <c r="H1383" s="4" t="str">
        <f>""</f>
        <v/>
      </c>
      <c r="I1383" s="4" t="str">
        <f>""</f>
        <v/>
      </c>
    </row>
    <row r="1384" spans="1:9" x14ac:dyDescent="0.3">
      <c r="A1384" s="1" t="str">
        <f>"38"</f>
        <v>38</v>
      </c>
      <c r="B1384" s="4" t="str">
        <f>"SOCIETE BRET DREVON"</f>
        <v>SOCIETE BRET DREVON</v>
      </c>
      <c r="C1384" s="4">
        <v>479683757</v>
      </c>
      <c r="D1384" s="3" t="s">
        <v>0</v>
      </c>
      <c r="E1384" s="2" t="str">
        <f>"PR3800046D"</f>
        <v>PR3800046D</v>
      </c>
      <c r="F1384" s="5">
        <v>42041</v>
      </c>
      <c r="G1384" s="5">
        <v>54789</v>
      </c>
      <c r="H1384" s="4" t="str">
        <f>""</f>
        <v/>
      </c>
      <c r="I1384" s="4" t="str">
        <f>""</f>
        <v/>
      </c>
    </row>
    <row r="1385" spans="1:9" x14ac:dyDescent="0.3">
      <c r="A1385" s="1" t="str">
        <f>"38"</f>
        <v>38</v>
      </c>
      <c r="B1385" s="4" t="str">
        <f>"SARL BRET-DREVON"</f>
        <v>SARL BRET-DREVON</v>
      </c>
      <c r="C1385" s="4">
        <v>479683757</v>
      </c>
      <c r="D1385" s="3" t="s">
        <v>0</v>
      </c>
      <c r="E1385" s="2" t="str">
        <f>"PR3800048D"</f>
        <v>PR3800048D</v>
      </c>
      <c r="F1385" s="5">
        <v>42822</v>
      </c>
      <c r="G1385" s="5">
        <v>54789</v>
      </c>
      <c r="H1385" s="4" t="str">
        <f>""</f>
        <v/>
      </c>
      <c r="I1385" s="4" t="str">
        <f>""</f>
        <v/>
      </c>
    </row>
    <row r="1386" spans="1:9" x14ac:dyDescent="0.3">
      <c r="A1386" s="1" t="str">
        <f>"38"</f>
        <v>38</v>
      </c>
      <c r="B1386" s="4" t="str">
        <f>"ROLAVAST"</f>
        <v>ROLAVAST</v>
      </c>
      <c r="C1386" s="4">
        <v>493813679</v>
      </c>
      <c r="D1386" s="3" t="s">
        <v>0</v>
      </c>
      <c r="E1386" s="2" t="str">
        <f>"PR3800055D"</f>
        <v>PR3800055D</v>
      </c>
      <c r="F1386" s="5">
        <v>45295</v>
      </c>
      <c r="G1386" s="5">
        <v>54789</v>
      </c>
      <c r="H1386" s="4" t="str">
        <f>""</f>
        <v/>
      </c>
      <c r="I1386" s="4" t="str">
        <f>""</f>
        <v/>
      </c>
    </row>
    <row r="1387" spans="1:9" x14ac:dyDescent="0.3">
      <c r="A1387" s="1" t="str">
        <f>"38"</f>
        <v>38</v>
      </c>
      <c r="B1387" s="4" t="str">
        <f>"AUTO PIECES CHANAS"</f>
        <v>AUTO PIECES CHANAS</v>
      </c>
      <c r="C1387" s="4">
        <v>501114284</v>
      </c>
      <c r="D1387" s="3" t="s">
        <v>0</v>
      </c>
      <c r="E1387" s="2" t="str">
        <f>"0006102845"</f>
        <v>0006102845</v>
      </c>
      <c r="F1387" s="5">
        <v>40030</v>
      </c>
      <c r="G1387" s="5">
        <v>54789</v>
      </c>
      <c r="H1387" s="4" t="str">
        <f>""</f>
        <v/>
      </c>
      <c r="I1387" s="4" t="str">
        <f>""</f>
        <v/>
      </c>
    </row>
    <row r="1388" spans="1:9" x14ac:dyDescent="0.3">
      <c r="A1388" s="1" t="str">
        <f>"38"</f>
        <v>38</v>
      </c>
      <c r="B1388" s="4" t="str">
        <f>"AUTO PIECES CHANAS"</f>
        <v>AUTO PIECES CHANAS</v>
      </c>
      <c r="C1388" s="4">
        <v>501114284</v>
      </c>
      <c r="D1388" s="3" t="s">
        <v>0</v>
      </c>
      <c r="E1388" s="2" t="str">
        <f>"PR3800042D"</f>
        <v>PR3800042D</v>
      </c>
      <c r="F1388" s="5">
        <v>40030</v>
      </c>
      <c r="G1388" s="5">
        <v>54789</v>
      </c>
      <c r="H1388" s="4" t="str">
        <f>""</f>
        <v/>
      </c>
      <c r="I1388" s="4" t="str">
        <f>""</f>
        <v/>
      </c>
    </row>
    <row r="1389" spans="1:9" x14ac:dyDescent="0.3">
      <c r="A1389" s="1" t="str">
        <f>"38"</f>
        <v>38</v>
      </c>
      <c r="B1389" s="4" t="str">
        <f>"LP MOTO"</f>
        <v>LP MOTO</v>
      </c>
      <c r="C1389" s="4">
        <v>523659365</v>
      </c>
      <c r="D1389" s="3" t="s">
        <v>0</v>
      </c>
      <c r="E1389" s="2" t="str">
        <f>"0006111591"</f>
        <v>0006111591</v>
      </c>
      <c r="F1389" s="5">
        <v>42298</v>
      </c>
      <c r="G1389" s="5">
        <v>54789</v>
      </c>
      <c r="H1389" s="4" t="str">
        <f>""</f>
        <v/>
      </c>
      <c r="I1389" s="4" t="str">
        <f>""</f>
        <v/>
      </c>
    </row>
    <row r="1390" spans="1:9" x14ac:dyDescent="0.3">
      <c r="A1390" s="1" t="str">
        <f>"38"</f>
        <v>38</v>
      </c>
      <c r="B1390" s="4" t="str">
        <f>"LP MOTO"</f>
        <v>LP MOTO</v>
      </c>
      <c r="C1390" s="4">
        <v>523659365</v>
      </c>
      <c r="D1390" s="3" t="s">
        <v>0</v>
      </c>
      <c r="E1390" s="2" t="str">
        <f>"PR3800047D"</f>
        <v>PR3800047D</v>
      </c>
      <c r="F1390" s="5">
        <v>42298</v>
      </c>
      <c r="G1390" s="5">
        <v>54789</v>
      </c>
      <c r="H1390" s="4" t="str">
        <f>""</f>
        <v/>
      </c>
      <c r="I1390" s="4" t="str">
        <f>""</f>
        <v/>
      </c>
    </row>
    <row r="1391" spans="1:9" x14ac:dyDescent="0.3">
      <c r="A1391" s="1" t="str">
        <f>"38"</f>
        <v>38</v>
      </c>
      <c r="B1391" s="4" t="str">
        <f>"MECA PRO"</f>
        <v>MECA PRO</v>
      </c>
      <c r="C1391" s="4">
        <v>530013325</v>
      </c>
      <c r="D1391" s="3" t="s">
        <v>0</v>
      </c>
      <c r="E1391" s="2" t="str">
        <f>"0006102908"</f>
        <v>0006102908</v>
      </c>
      <c r="F1391" s="5">
        <v>43283</v>
      </c>
      <c r="G1391" s="5">
        <v>54789</v>
      </c>
      <c r="H1391" s="4" t="str">
        <f>""</f>
        <v/>
      </c>
      <c r="I1391" s="4" t="str">
        <f>""</f>
        <v/>
      </c>
    </row>
    <row r="1392" spans="1:9" x14ac:dyDescent="0.3">
      <c r="A1392" s="1" t="str">
        <f>"38"</f>
        <v>38</v>
      </c>
      <c r="B1392" s="4" t="str">
        <f>"MECA PRO"</f>
        <v>MECA PRO</v>
      </c>
      <c r="C1392" s="4">
        <v>530013325</v>
      </c>
      <c r="D1392" s="3" t="s">
        <v>0</v>
      </c>
      <c r="E1392" s="2" t="str">
        <f>"PR3800002D"</f>
        <v>PR3800002D</v>
      </c>
      <c r="F1392" s="5">
        <v>43283</v>
      </c>
      <c r="G1392" s="5">
        <v>54789</v>
      </c>
      <c r="H1392" s="4" t="str">
        <f>""</f>
        <v/>
      </c>
      <c r="I1392" s="4" t="str">
        <f>""</f>
        <v/>
      </c>
    </row>
    <row r="1393" spans="1:9" x14ac:dyDescent="0.3">
      <c r="A1393" s="1" t="str">
        <f>"38"</f>
        <v>38</v>
      </c>
      <c r="B1393" s="4" t="str">
        <f>"GUY DAUPHIN ENVIRONNEMENT"</f>
        <v>GUY DAUPHIN ENVIRONNEMENT</v>
      </c>
      <c r="C1393" s="4">
        <v>653820530</v>
      </c>
      <c r="D1393" s="3" t="s">
        <v>0</v>
      </c>
      <c r="E1393" s="2" t="str">
        <f>"PR3800003B"</f>
        <v>PR3800003B</v>
      </c>
      <c r="F1393" s="5">
        <v>41088</v>
      </c>
      <c r="G1393" s="5">
        <v>54789</v>
      </c>
      <c r="H1393" s="4" t="str">
        <f>""</f>
        <v/>
      </c>
      <c r="I1393" s="4" t="str">
        <f>""</f>
        <v/>
      </c>
    </row>
    <row r="1394" spans="1:9" x14ac:dyDescent="0.3">
      <c r="A1394" s="1" t="str">
        <f>"38"</f>
        <v>38</v>
      </c>
      <c r="B1394" s="4" t="str">
        <f>"GUY DAUPHIN ENVIRONNEMENT"</f>
        <v>GUY DAUPHIN ENVIRONNEMENT</v>
      </c>
      <c r="C1394" s="4">
        <v>653820530</v>
      </c>
      <c r="D1394" s="3" t="s">
        <v>0</v>
      </c>
      <c r="E1394" s="2" t="str">
        <f>"PR3800040D"</f>
        <v>PR3800040D</v>
      </c>
      <c r="F1394" s="5">
        <v>40663</v>
      </c>
      <c r="G1394" s="5">
        <v>54789</v>
      </c>
      <c r="H1394" s="4" t="str">
        <f>""</f>
        <v/>
      </c>
      <c r="I1394" s="4" t="str">
        <f>""</f>
        <v/>
      </c>
    </row>
    <row r="1395" spans="1:9" x14ac:dyDescent="0.3">
      <c r="A1395" s="1" t="str">
        <f>"38"</f>
        <v>38</v>
      </c>
      <c r="B1395" s="4" t="str">
        <f>"GUY DAUPHIN ENVIRONNEMENT"</f>
        <v>GUY DAUPHIN ENVIRONNEMENT</v>
      </c>
      <c r="C1395" s="4">
        <v>653820530</v>
      </c>
      <c r="D1395" s="3" t="s">
        <v>0</v>
      </c>
      <c r="E1395" s="2" t="str">
        <f>"PR3800041D"</f>
        <v>PR3800041D</v>
      </c>
      <c r="F1395" s="5">
        <v>42201</v>
      </c>
      <c r="G1395" s="5">
        <v>54789</v>
      </c>
      <c r="H1395" s="4" t="str">
        <f>""</f>
        <v/>
      </c>
      <c r="I1395" s="4" t="str">
        <f>""</f>
        <v/>
      </c>
    </row>
    <row r="1396" spans="1:9" x14ac:dyDescent="0.3">
      <c r="A1396" s="1" t="str">
        <f>"38"</f>
        <v>38</v>
      </c>
      <c r="B1396" s="4" t="str">
        <f>"ASCONE SAS"</f>
        <v>ASCONE SAS</v>
      </c>
      <c r="C1396" s="4">
        <v>799902291</v>
      </c>
      <c r="D1396" s="3" t="s">
        <v>0</v>
      </c>
      <c r="E1396" s="2" t="str">
        <f>"0006103063"</f>
        <v>0006103063</v>
      </c>
      <c r="F1396" s="5">
        <v>41641</v>
      </c>
      <c r="G1396" s="5">
        <v>54789</v>
      </c>
      <c r="H1396" s="4" t="str">
        <f>""</f>
        <v/>
      </c>
      <c r="I1396" s="4" t="str">
        <f>""</f>
        <v/>
      </c>
    </row>
    <row r="1397" spans="1:9" x14ac:dyDescent="0.3">
      <c r="A1397" s="1" t="str">
        <f>"38"</f>
        <v>38</v>
      </c>
      <c r="B1397" s="4" t="str">
        <f>"ASCONE SAS"</f>
        <v>ASCONE SAS</v>
      </c>
      <c r="C1397" s="4">
        <v>799902291</v>
      </c>
      <c r="D1397" s="3" t="s">
        <v>0</v>
      </c>
      <c r="E1397" s="2" t="str">
        <f>"PR3800030D"</f>
        <v>PR3800030D</v>
      </c>
      <c r="F1397" s="5">
        <v>41641</v>
      </c>
      <c r="G1397" s="5">
        <v>54789</v>
      </c>
      <c r="H1397" s="4" t="str">
        <f>""</f>
        <v/>
      </c>
      <c r="I1397" s="4" t="str">
        <f>""</f>
        <v/>
      </c>
    </row>
    <row r="1398" spans="1:9" x14ac:dyDescent="0.3">
      <c r="A1398" s="1" t="str">
        <f>"38"</f>
        <v>38</v>
      </c>
      <c r="B1398" s="4" t="str">
        <f>"REMETTER ROUCHON RECYCLAGE"</f>
        <v>REMETTER ROUCHON RECYCLAGE</v>
      </c>
      <c r="C1398" s="4">
        <v>803440999</v>
      </c>
      <c r="D1398" s="3" t="s">
        <v>0</v>
      </c>
      <c r="E1398" s="2" t="str">
        <f>"0006103209"</f>
        <v>0006103209</v>
      </c>
      <c r="F1398" s="5">
        <v>44179</v>
      </c>
      <c r="G1398" s="5">
        <v>54789</v>
      </c>
      <c r="H1398" s="4" t="str">
        <f>""</f>
        <v/>
      </c>
      <c r="I1398" s="4" t="str">
        <f>""</f>
        <v/>
      </c>
    </row>
    <row r="1399" spans="1:9" x14ac:dyDescent="0.3">
      <c r="A1399" s="1" t="str">
        <f>"38"</f>
        <v>38</v>
      </c>
      <c r="B1399" s="4" t="str">
        <f>"REMETTER ROUCHON RECYCLAGE"</f>
        <v>REMETTER ROUCHON RECYCLAGE</v>
      </c>
      <c r="C1399" s="4">
        <v>803440999</v>
      </c>
      <c r="D1399" s="3" t="s">
        <v>0</v>
      </c>
      <c r="E1399" s="2" t="str">
        <f>"PR3800052D"</f>
        <v>PR3800052D</v>
      </c>
      <c r="F1399" s="5">
        <v>44179</v>
      </c>
      <c r="G1399" s="5">
        <v>54789</v>
      </c>
      <c r="H1399" s="4" t="str">
        <f>""</f>
        <v/>
      </c>
      <c r="I1399" s="4" t="str">
        <f>""</f>
        <v/>
      </c>
    </row>
    <row r="1400" spans="1:9" x14ac:dyDescent="0.3">
      <c r="A1400" s="1" t="str">
        <f>"38"</f>
        <v>38</v>
      </c>
      <c r="B1400" s="4" t="str">
        <f>"DAD"</f>
        <v>DAD</v>
      </c>
      <c r="C1400" s="4">
        <v>838728582</v>
      </c>
      <c r="D1400" s="3" t="s">
        <v>0</v>
      </c>
      <c r="E1400" s="2" t="str">
        <f>"0006103095"</f>
        <v>0006103095</v>
      </c>
      <c r="F1400" s="5">
        <v>38898</v>
      </c>
      <c r="G1400" s="5">
        <v>54789</v>
      </c>
      <c r="H1400" s="4" t="str">
        <f>""</f>
        <v/>
      </c>
      <c r="I1400" s="4" t="str">
        <f>""</f>
        <v/>
      </c>
    </row>
    <row r="1401" spans="1:9" x14ac:dyDescent="0.3">
      <c r="A1401" s="1" t="str">
        <f>"38"</f>
        <v>38</v>
      </c>
      <c r="B1401" s="4" t="str">
        <f>"DAD"</f>
        <v>DAD</v>
      </c>
      <c r="C1401" s="4">
        <v>838728582</v>
      </c>
      <c r="D1401" s="3" t="s">
        <v>0</v>
      </c>
      <c r="E1401" s="2" t="str">
        <f>"PR3800008D"</f>
        <v>PR3800008D</v>
      </c>
      <c r="F1401" s="5">
        <v>38898</v>
      </c>
      <c r="G1401" s="5">
        <v>54789</v>
      </c>
      <c r="H1401" s="4" t="str">
        <f>""</f>
        <v/>
      </c>
      <c r="I1401" s="4" t="str">
        <f>""</f>
        <v/>
      </c>
    </row>
    <row r="1402" spans="1:9" x14ac:dyDescent="0.3">
      <c r="A1402" s="1" t="str">
        <f>"38"</f>
        <v>38</v>
      </c>
      <c r="B1402" s="4" t="str">
        <f>"PIECE AUTO 38"</f>
        <v>PIECE AUTO 38</v>
      </c>
      <c r="C1402" s="4">
        <v>840279681</v>
      </c>
      <c r="D1402" s="3" t="s">
        <v>0</v>
      </c>
      <c r="E1402" s="2" t="str">
        <f>"0006103276"</f>
        <v>0006103276</v>
      </c>
      <c r="F1402" s="5">
        <v>43357</v>
      </c>
      <c r="G1402" s="5">
        <v>54789</v>
      </c>
      <c r="H1402" s="4" t="str">
        <f>""</f>
        <v/>
      </c>
      <c r="I1402" s="4" t="str">
        <f>""</f>
        <v/>
      </c>
    </row>
    <row r="1403" spans="1:9" x14ac:dyDescent="0.3">
      <c r="A1403" s="1" t="str">
        <f>"38"</f>
        <v>38</v>
      </c>
      <c r="B1403" s="4" t="str">
        <f>"PIECE AUTO 38"</f>
        <v>PIECE AUTO 38</v>
      </c>
      <c r="C1403" s="4">
        <v>840279681</v>
      </c>
      <c r="D1403" s="3" t="s">
        <v>0</v>
      </c>
      <c r="E1403" s="2" t="str">
        <f>"PR3800006D"</f>
        <v>PR3800006D</v>
      </c>
      <c r="F1403" s="5">
        <v>43357</v>
      </c>
      <c r="G1403" s="5">
        <v>54789</v>
      </c>
      <c r="H1403" s="4" t="str">
        <f>""</f>
        <v/>
      </c>
      <c r="I1403" s="4" t="str">
        <f>""</f>
        <v/>
      </c>
    </row>
    <row r="1404" spans="1:9" x14ac:dyDescent="0.3">
      <c r="A1404" s="1" t="str">
        <f>"38"</f>
        <v>38</v>
      </c>
      <c r="B1404" s="4" t="str">
        <f>"GARAGE TAHAR"</f>
        <v>GARAGE TAHAR</v>
      </c>
      <c r="C1404" s="4">
        <v>840984108</v>
      </c>
      <c r="D1404" s="3" t="s">
        <v>0</v>
      </c>
      <c r="E1404" s="2" t="str">
        <f>"0010400754"</f>
        <v>0010400754</v>
      </c>
      <c r="F1404" s="5">
        <v>43286</v>
      </c>
      <c r="G1404" s="5">
        <v>54789</v>
      </c>
      <c r="H1404" s="4" t="str">
        <f>""</f>
        <v/>
      </c>
      <c r="I1404" s="4" t="str">
        <f>""</f>
        <v/>
      </c>
    </row>
    <row r="1405" spans="1:9" x14ac:dyDescent="0.3">
      <c r="A1405" s="1" t="str">
        <f>"38"</f>
        <v>38</v>
      </c>
      <c r="B1405" s="4" t="str">
        <f>"GARAGE TAHAR"</f>
        <v>GARAGE TAHAR</v>
      </c>
      <c r="C1405" s="4">
        <v>840984108</v>
      </c>
      <c r="D1405" s="3" t="s">
        <v>0</v>
      </c>
      <c r="E1405" s="2" t="str">
        <f>"PR380033D"</f>
        <v>PR380033D</v>
      </c>
      <c r="F1405" s="5">
        <v>43286</v>
      </c>
      <c r="G1405" s="5">
        <v>54789</v>
      </c>
      <c r="H1405" s="4" t="str">
        <f>""</f>
        <v/>
      </c>
      <c r="I1405" s="4" t="str">
        <f>""</f>
        <v/>
      </c>
    </row>
    <row r="1406" spans="1:9" x14ac:dyDescent="0.3">
      <c r="A1406" s="1" t="str">
        <f>"38"</f>
        <v>38</v>
      </c>
      <c r="B1406" s="4" t="str">
        <f>"ADB AUTOMOBILES-SARL FRPH"</f>
        <v>ADB AUTOMOBILES-SARL FRPH</v>
      </c>
      <c r="C1406" s="4">
        <v>881510408</v>
      </c>
      <c r="D1406" s="3" t="s">
        <v>0</v>
      </c>
      <c r="E1406" s="2" t="str">
        <f>"0100003544"</f>
        <v>0100003544</v>
      </c>
      <c r="F1406" s="5">
        <v>44900</v>
      </c>
      <c r="G1406" s="5">
        <v>54789</v>
      </c>
      <c r="H1406" s="4" t="str">
        <f>""</f>
        <v/>
      </c>
      <c r="I1406" s="4" t="str">
        <f>""</f>
        <v/>
      </c>
    </row>
    <row r="1407" spans="1:9" x14ac:dyDescent="0.3">
      <c r="A1407" s="1" t="str">
        <f>"38"</f>
        <v>38</v>
      </c>
      <c r="B1407" s="4" t="str">
        <f>"ADB AUTOMOBILES-SARL FRPH"</f>
        <v>ADB AUTOMOBILES-SARL FRPH</v>
      </c>
      <c r="C1407" s="4">
        <v>881510408</v>
      </c>
      <c r="D1407" s="3" t="s">
        <v>0</v>
      </c>
      <c r="E1407" s="2" t="str">
        <f>"PR3800054D"</f>
        <v>PR3800054D</v>
      </c>
      <c r="F1407" s="5">
        <v>44900</v>
      </c>
      <c r="G1407" s="5">
        <v>54789</v>
      </c>
      <c r="H1407" s="4" t="str">
        <f>""</f>
        <v/>
      </c>
      <c r="I1407" s="4" t="str">
        <f>""</f>
        <v/>
      </c>
    </row>
    <row r="1408" spans="1:9" x14ac:dyDescent="0.3">
      <c r="A1408" s="1" t="str">
        <f>"38"</f>
        <v>38</v>
      </c>
      <c r="B1408" s="4" t="str">
        <f>"TRENTETROIS"</f>
        <v>TRENTETROIS</v>
      </c>
      <c r="C1408" s="4">
        <v>918702531</v>
      </c>
      <c r="D1408" s="3" t="s">
        <v>0</v>
      </c>
      <c r="E1408" s="2" t="str">
        <f>"0010400612"</f>
        <v>0010400612</v>
      </c>
      <c r="F1408" s="5">
        <v>44916</v>
      </c>
      <c r="G1408" s="5">
        <v>54789</v>
      </c>
      <c r="H1408" s="4" t="str">
        <f>""</f>
        <v/>
      </c>
      <c r="I1408" s="4" t="str">
        <f>""</f>
        <v/>
      </c>
    </row>
    <row r="1409" spans="1:9" x14ac:dyDescent="0.3">
      <c r="A1409" s="1" t="str">
        <f>"38"</f>
        <v>38</v>
      </c>
      <c r="B1409" s="4" t="str">
        <f>"TRENTETROIS"</f>
        <v>TRENTETROIS</v>
      </c>
      <c r="C1409" s="4">
        <v>918702531</v>
      </c>
      <c r="D1409" s="3" t="s">
        <v>0</v>
      </c>
      <c r="E1409" s="2" t="str">
        <f>"0010400092"</f>
        <v>0010400092</v>
      </c>
      <c r="F1409" s="5">
        <v>44916</v>
      </c>
      <c r="G1409" s="5">
        <v>54789</v>
      </c>
      <c r="H1409" s="4" t="str">
        <f>""</f>
        <v/>
      </c>
      <c r="I1409" s="4" t="str">
        <f>""</f>
        <v/>
      </c>
    </row>
    <row r="1410" spans="1:9" x14ac:dyDescent="0.3">
      <c r="A1410" s="1" t="str">
        <f>"38"</f>
        <v>38</v>
      </c>
      <c r="B1410" s="4" t="str">
        <f>"TRENTETROIS"</f>
        <v>TRENTETROIS</v>
      </c>
      <c r="C1410" s="4">
        <v>918702531</v>
      </c>
      <c r="D1410" s="3" t="s">
        <v>0</v>
      </c>
      <c r="E1410" s="2" t="str">
        <f>"PR3800003B"</f>
        <v>PR3800003B</v>
      </c>
      <c r="F1410" s="5">
        <v>44916</v>
      </c>
      <c r="G1410" s="5">
        <v>54789</v>
      </c>
      <c r="H1410" s="4" t="str">
        <f>""</f>
        <v/>
      </c>
      <c r="I1410" s="4" t="str">
        <f>""</f>
        <v/>
      </c>
    </row>
    <row r="1411" spans="1:9" x14ac:dyDescent="0.3">
      <c r="A1411" s="1" t="str">
        <f>"38"</f>
        <v>38</v>
      </c>
      <c r="B1411" s="4" t="str">
        <f>"TRENTETROIS"</f>
        <v>TRENTETROIS</v>
      </c>
      <c r="C1411" s="4">
        <v>918702531</v>
      </c>
      <c r="D1411" s="3" t="s">
        <v>0</v>
      </c>
      <c r="E1411" s="2" t="str">
        <f>"PR3800041D"</f>
        <v>PR3800041D</v>
      </c>
      <c r="F1411" s="5">
        <v>44916</v>
      </c>
      <c r="G1411" s="5">
        <v>54789</v>
      </c>
      <c r="H1411" s="4" t="str">
        <f>""</f>
        <v/>
      </c>
      <c r="I1411" s="4" t="str">
        <f>""</f>
        <v/>
      </c>
    </row>
    <row r="1412" spans="1:9" x14ac:dyDescent="0.3">
      <c r="A1412" s="1" t="str">
        <f>"38"</f>
        <v>38</v>
      </c>
      <c r="B1412" s="4" t="str">
        <f>"TABARD CARECO AUTOS DEMOLITION"</f>
        <v>TABARD CARECO AUTOS DEMOLITION</v>
      </c>
      <c r="C1412" s="4">
        <v>958510026</v>
      </c>
      <c r="D1412" s="3" t="s">
        <v>0</v>
      </c>
      <c r="E1412" s="2" t="str">
        <f>"0010400236"</f>
        <v>0010400236</v>
      </c>
      <c r="F1412" s="5">
        <v>38868</v>
      </c>
      <c r="G1412" s="5">
        <v>54789</v>
      </c>
      <c r="H1412" s="4" t="str">
        <f>""</f>
        <v/>
      </c>
      <c r="I1412" s="4" t="str">
        <f>""</f>
        <v/>
      </c>
    </row>
    <row r="1413" spans="1:9" x14ac:dyDescent="0.3">
      <c r="A1413" s="1" t="str">
        <f>"38"</f>
        <v>38</v>
      </c>
      <c r="B1413" s="4" t="str">
        <f>"TABARD CARECO AUTOS DEMOLITION"</f>
        <v>TABARD CARECO AUTOS DEMOLITION</v>
      </c>
      <c r="C1413" s="4">
        <v>958510026</v>
      </c>
      <c r="D1413" s="3" t="s">
        <v>0</v>
      </c>
      <c r="E1413" s="2" t="str">
        <f>"PR3800005D"</f>
        <v>PR3800005D</v>
      </c>
      <c r="F1413" s="5">
        <v>38868</v>
      </c>
      <c r="G1413" s="5">
        <v>54789</v>
      </c>
      <c r="H1413" s="4" t="str">
        <f>""</f>
        <v/>
      </c>
      <c r="I1413" s="4" t="str">
        <f>""</f>
        <v/>
      </c>
    </row>
    <row r="1414" spans="1:9" x14ac:dyDescent="0.3">
      <c r="A1414" s="1" t="str">
        <f>"39"</f>
        <v>39</v>
      </c>
      <c r="B1414" s="4" t="str">
        <f>"WETZEL Laurent"</f>
        <v>WETZEL Laurent</v>
      </c>
      <c r="C1414" s="4">
        <v>338643968</v>
      </c>
      <c r="D1414" s="3" t="s">
        <v>0</v>
      </c>
      <c r="E1414" s="2" t="str">
        <f>"PR3900014D"</f>
        <v>PR3900014D</v>
      </c>
      <c r="F1414" s="5">
        <v>42706</v>
      </c>
      <c r="G1414" s="5">
        <v>54789</v>
      </c>
      <c r="H1414" s="4" t="str">
        <f>""</f>
        <v/>
      </c>
      <c r="I1414" s="4" t="str">
        <f>""</f>
        <v/>
      </c>
    </row>
    <row r="1415" spans="1:9" x14ac:dyDescent="0.3">
      <c r="A1415" s="1" t="str">
        <f>"39"</f>
        <v>39</v>
      </c>
      <c r="B1415" s="4" t="str">
        <f>"WETZEL Laurent"</f>
        <v>WETZEL Laurent</v>
      </c>
      <c r="C1415" s="4">
        <v>338643968</v>
      </c>
      <c r="D1415" s="3" t="s">
        <v>0</v>
      </c>
      <c r="E1415" s="2" t="str">
        <f>"0005906308"</f>
        <v>0005906308</v>
      </c>
      <c r="F1415" s="5">
        <v>42706</v>
      </c>
      <c r="G1415" s="5">
        <v>54789</v>
      </c>
      <c r="H1415" s="4" t="str">
        <f>""</f>
        <v/>
      </c>
      <c r="I1415" s="4" t="str">
        <f>""</f>
        <v/>
      </c>
    </row>
    <row r="1416" spans="1:9" x14ac:dyDescent="0.3">
      <c r="A1416" s="1" t="str">
        <f>"39"</f>
        <v>39</v>
      </c>
      <c r="B1416" s="4" t="str">
        <f>"SARL RECUP 39"</f>
        <v>SARL RECUP 39</v>
      </c>
      <c r="C1416" s="4">
        <v>390127793</v>
      </c>
      <c r="D1416" s="3" t="s">
        <v>0</v>
      </c>
      <c r="E1416" s="2" t="str">
        <f>"PR3900003D"</f>
        <v>PR3900003D</v>
      </c>
      <c r="F1416" s="5">
        <v>43834</v>
      </c>
      <c r="G1416" s="5">
        <v>54789</v>
      </c>
      <c r="H1416" s="4" t="str">
        <f>""</f>
        <v/>
      </c>
      <c r="I1416" s="4" t="str">
        <f>""</f>
        <v/>
      </c>
    </row>
    <row r="1417" spans="1:9" x14ac:dyDescent="0.3">
      <c r="A1417" s="1" t="str">
        <f>"39"</f>
        <v>39</v>
      </c>
      <c r="B1417" s="4" t="str">
        <f>"SARL RECUP 39"</f>
        <v>SARL RECUP 39</v>
      </c>
      <c r="C1417" s="4">
        <v>390127793</v>
      </c>
      <c r="D1417" s="3" t="s">
        <v>0</v>
      </c>
      <c r="E1417" s="2" t="str">
        <f>"0005900991"</f>
        <v>0005900991</v>
      </c>
      <c r="F1417" s="5">
        <v>43834</v>
      </c>
      <c r="G1417" s="5">
        <v>54789</v>
      </c>
      <c r="H1417" s="4" t="str">
        <f>""</f>
        <v/>
      </c>
      <c r="I1417" s="4" t="str">
        <f>""</f>
        <v/>
      </c>
    </row>
    <row r="1418" spans="1:9" x14ac:dyDescent="0.3">
      <c r="A1418" s="1" t="str">
        <f>"39"</f>
        <v>39</v>
      </c>
      <c r="B1418" s="4" t="str">
        <f>"BERGER GEORGES-LOUIS"</f>
        <v>BERGER GEORGES-LOUIS</v>
      </c>
      <c r="C1418" s="4">
        <v>407874247</v>
      </c>
      <c r="D1418" s="3" t="s">
        <v>0</v>
      </c>
      <c r="E1418" s="2" t="str">
        <f>"PR3900008D"</f>
        <v>PR3900008D</v>
      </c>
      <c r="F1418" s="5">
        <v>45125</v>
      </c>
      <c r="G1418" s="5">
        <v>54789</v>
      </c>
      <c r="H1418" s="4" t="str">
        <f>""</f>
        <v/>
      </c>
      <c r="I1418" s="4" t="str">
        <f>""</f>
        <v/>
      </c>
    </row>
    <row r="1419" spans="1:9" x14ac:dyDescent="0.3">
      <c r="A1419" s="1" t="str">
        <f>"39"</f>
        <v>39</v>
      </c>
      <c r="B1419" s="4" t="str">
        <f>"BERGER GEORGES-LOUIS"</f>
        <v>BERGER GEORGES-LOUIS</v>
      </c>
      <c r="C1419" s="4">
        <v>407874247</v>
      </c>
      <c r="D1419" s="3" t="s">
        <v>0</v>
      </c>
      <c r="E1419" s="2" t="str">
        <f>"0012100028"</f>
        <v>0012100028</v>
      </c>
      <c r="F1419" s="5">
        <v>45125</v>
      </c>
      <c r="G1419" s="5">
        <v>54789</v>
      </c>
      <c r="H1419" s="4" t="str">
        <f>""</f>
        <v/>
      </c>
      <c r="I1419" s="4" t="str">
        <f>""</f>
        <v/>
      </c>
    </row>
    <row r="1420" spans="1:9" x14ac:dyDescent="0.3">
      <c r="A1420" s="1" t="str">
        <f>"39"</f>
        <v>39</v>
      </c>
      <c r="B1420" s="4" t="str">
        <f>"SARL AUTO-PIECES DES LACS"</f>
        <v>SARL AUTO-PIECES DES LACS</v>
      </c>
      <c r="C1420" s="4">
        <v>409567112</v>
      </c>
      <c r="D1420" s="3" t="s">
        <v>0</v>
      </c>
      <c r="E1420" s="2" t="str">
        <f>"PR3900011D"</f>
        <v>PR3900011D</v>
      </c>
      <c r="F1420" s="5">
        <v>43434</v>
      </c>
      <c r="G1420" s="5">
        <v>54789</v>
      </c>
      <c r="H1420" s="4" t="str">
        <f>""</f>
        <v/>
      </c>
      <c r="I1420" s="4" t="str">
        <f>""</f>
        <v/>
      </c>
    </row>
    <row r="1421" spans="1:9" x14ac:dyDescent="0.3">
      <c r="A1421" s="1" t="str">
        <f>"39"</f>
        <v>39</v>
      </c>
      <c r="B1421" s="4" t="str">
        <f>"SARL AUTO-PIECES DES LACS"</f>
        <v>SARL AUTO-PIECES DES LACS</v>
      </c>
      <c r="C1421" s="4">
        <v>409567112</v>
      </c>
      <c r="D1421" s="3" t="s">
        <v>0</v>
      </c>
      <c r="E1421" s="2" t="str">
        <f>"0012600091"</f>
        <v>0012600091</v>
      </c>
      <c r="F1421" s="5">
        <v>43434</v>
      </c>
      <c r="G1421" s="5">
        <v>54789</v>
      </c>
      <c r="H1421" s="4" t="str">
        <f>""</f>
        <v/>
      </c>
      <c r="I1421" s="4" t="str">
        <f>""</f>
        <v/>
      </c>
    </row>
    <row r="1422" spans="1:9" x14ac:dyDescent="0.3">
      <c r="A1422" s="1" t="str">
        <f>"39"</f>
        <v>39</v>
      </c>
      <c r="B1422" s="4" t="str">
        <f>"DPO"</f>
        <v>DPO</v>
      </c>
      <c r="C1422" s="4">
        <v>423628643</v>
      </c>
      <c r="D1422" s="3" t="s">
        <v>0</v>
      </c>
      <c r="E1422" s="2" t="str">
        <f>"0005903886"</f>
        <v>0005903886</v>
      </c>
      <c r="F1422" s="5">
        <v>42793</v>
      </c>
      <c r="G1422" s="5">
        <v>54789</v>
      </c>
      <c r="H1422" s="4" t="str">
        <f>""</f>
        <v/>
      </c>
      <c r="I1422" s="4" t="str">
        <f>""</f>
        <v/>
      </c>
    </row>
    <row r="1423" spans="1:9" x14ac:dyDescent="0.3">
      <c r="A1423" s="1" t="str">
        <f>"39"</f>
        <v>39</v>
      </c>
      <c r="B1423" s="4" t="str">
        <f>"DPO"</f>
        <v>DPO</v>
      </c>
      <c r="C1423" s="4">
        <v>423628643</v>
      </c>
      <c r="D1423" s="3" t="s">
        <v>0</v>
      </c>
      <c r="E1423" s="2" t="str">
        <f>"PR3900012D"</f>
        <v>PR3900012D</v>
      </c>
      <c r="F1423" s="5">
        <v>42793</v>
      </c>
      <c r="G1423" s="5">
        <v>54789</v>
      </c>
      <c r="H1423" s="4" t="str">
        <f>""</f>
        <v/>
      </c>
      <c r="I1423" s="4" t="str">
        <f>""</f>
        <v/>
      </c>
    </row>
    <row r="1424" spans="1:9" x14ac:dyDescent="0.3">
      <c r="A1424" s="1" t="str">
        <f>"39"</f>
        <v>39</v>
      </c>
      <c r="B1424" s="4" t="str">
        <f>"SARL OCCAS'AUTO"</f>
        <v>SARL OCCAS'AUTO</v>
      </c>
      <c r="C1424" s="4">
        <v>435386768</v>
      </c>
      <c r="D1424" s="3" t="s">
        <v>0</v>
      </c>
      <c r="E1424" s="2" t="str">
        <f>"PR3900010D"</f>
        <v>PR3900010D</v>
      </c>
      <c r="F1424" s="5">
        <v>43881</v>
      </c>
      <c r="G1424" s="5">
        <v>54789</v>
      </c>
      <c r="H1424" s="4" t="str">
        <f>""</f>
        <v/>
      </c>
      <c r="I1424" s="4" t="str">
        <f>""</f>
        <v/>
      </c>
    </row>
    <row r="1425" spans="1:9" x14ac:dyDescent="0.3">
      <c r="A1425" s="1" t="str">
        <f>"39"</f>
        <v>39</v>
      </c>
      <c r="B1425" s="4" t="str">
        <f>"SARL OCCAS'AUTO"</f>
        <v>SARL OCCAS'AUTO</v>
      </c>
      <c r="C1425" s="4">
        <v>435386768</v>
      </c>
      <c r="D1425" s="3" t="s">
        <v>0</v>
      </c>
      <c r="E1425" s="2" t="str">
        <f>"0005903320"</f>
        <v>0005903320</v>
      </c>
      <c r="F1425" s="5">
        <v>43881</v>
      </c>
      <c r="G1425" s="5">
        <v>54789</v>
      </c>
      <c r="H1425" s="4" t="str">
        <f>""</f>
        <v/>
      </c>
      <c r="I1425" s="4" t="str">
        <f>""</f>
        <v/>
      </c>
    </row>
    <row r="1426" spans="1:9" x14ac:dyDescent="0.3">
      <c r="A1426" s="1" t="str">
        <f>"39"</f>
        <v>39</v>
      </c>
      <c r="B1426" s="4" t="str">
        <f>"SAS ESKA"</f>
        <v>SAS ESKA</v>
      </c>
      <c r="C1426" s="4">
        <v>558502811</v>
      </c>
      <c r="D1426" s="3" t="s">
        <v>0</v>
      </c>
      <c r="E1426" s="2" t="str">
        <f>"PR3900009D"</f>
        <v>PR3900009D</v>
      </c>
      <c r="F1426" s="5">
        <v>43690</v>
      </c>
      <c r="G1426" s="5">
        <v>54789</v>
      </c>
      <c r="H1426" s="4" t="str">
        <f>""</f>
        <v/>
      </c>
      <c r="I1426" s="4" t="str">
        <f>""</f>
        <v/>
      </c>
    </row>
    <row r="1427" spans="1:9" x14ac:dyDescent="0.3">
      <c r="A1427" s="1" t="str">
        <f>"39"</f>
        <v>39</v>
      </c>
      <c r="B1427" s="4" t="str">
        <f>"SAS ESKA"</f>
        <v>SAS ESKA</v>
      </c>
      <c r="C1427" s="4">
        <v>558502811</v>
      </c>
      <c r="D1427" s="3" t="s">
        <v>0</v>
      </c>
      <c r="E1427" s="2" t="str">
        <f>"0005902063"</f>
        <v>0005902063</v>
      </c>
      <c r="F1427" s="5">
        <v>45036</v>
      </c>
      <c r="G1427" s="5">
        <v>54789</v>
      </c>
      <c r="H1427" s="4" t="str">
        <f>""</f>
        <v/>
      </c>
      <c r="I1427" s="4" t="str">
        <f>""</f>
        <v/>
      </c>
    </row>
    <row r="1428" spans="1:9" x14ac:dyDescent="0.3">
      <c r="A1428" s="1" t="str">
        <f>"39"</f>
        <v>39</v>
      </c>
      <c r="B1428" s="4" t="str">
        <f>"SARL GRUT JEAN-LOUIS"</f>
        <v>SARL GRUT JEAN-LOUIS</v>
      </c>
      <c r="C1428" s="4">
        <v>627180102</v>
      </c>
      <c r="D1428" s="3" t="s">
        <v>0</v>
      </c>
      <c r="E1428" s="2" t="str">
        <f>"PR3900006D"</f>
        <v>PR3900006D</v>
      </c>
      <c r="F1428" s="5">
        <v>43424</v>
      </c>
      <c r="G1428" s="5">
        <v>54789</v>
      </c>
      <c r="H1428" s="4" t="str">
        <f>""</f>
        <v/>
      </c>
      <c r="I1428" s="4" t="str">
        <f>""</f>
        <v/>
      </c>
    </row>
    <row r="1429" spans="1:9" x14ac:dyDescent="0.3">
      <c r="A1429" s="1" t="str">
        <f>"39"</f>
        <v>39</v>
      </c>
      <c r="B1429" s="4" t="str">
        <f>"SARL GRUT JEAN-LOUIS"</f>
        <v>SARL GRUT JEAN-LOUIS</v>
      </c>
      <c r="C1429" s="4">
        <v>627180102</v>
      </c>
      <c r="D1429" s="3" t="s">
        <v>0</v>
      </c>
      <c r="E1429" s="2" t="str">
        <f>"0012100014"</f>
        <v>0012100014</v>
      </c>
      <c r="F1429" s="5">
        <v>43424</v>
      </c>
      <c r="G1429" s="5">
        <v>54789</v>
      </c>
      <c r="H1429" s="4" t="str">
        <f>""</f>
        <v/>
      </c>
      <c r="I1429" s="4" t="str">
        <f>""</f>
        <v/>
      </c>
    </row>
    <row r="1430" spans="1:9" x14ac:dyDescent="0.3">
      <c r="A1430" s="1" t="str">
        <f>"39"</f>
        <v>39</v>
      </c>
      <c r="B1430" s="4" t="str">
        <f>"SARL CAMBOUIS 39"</f>
        <v>SARL CAMBOUIS 39</v>
      </c>
      <c r="C1430" s="4">
        <v>952909000</v>
      </c>
      <c r="D1430" s="3" t="s">
        <v>0</v>
      </c>
      <c r="E1430" s="2" t="str">
        <f>"PR3900005D"</f>
        <v>PR3900005D</v>
      </c>
      <c r="F1430" s="5">
        <v>45209</v>
      </c>
      <c r="G1430" s="5">
        <v>54789</v>
      </c>
      <c r="H1430" s="4" t="str">
        <f>""</f>
        <v/>
      </c>
      <c r="I1430" s="4" t="str">
        <f>""</f>
        <v/>
      </c>
    </row>
    <row r="1431" spans="1:9" x14ac:dyDescent="0.3">
      <c r="A1431" s="1" t="str">
        <f>"39"</f>
        <v>39</v>
      </c>
      <c r="B1431" s="4" t="str">
        <f>"SARL CAMBOUIS 39"</f>
        <v>SARL CAMBOUIS 39</v>
      </c>
      <c r="C1431" s="4">
        <v>952909000</v>
      </c>
      <c r="D1431" s="3" t="s">
        <v>0</v>
      </c>
      <c r="E1431" s="2" t="str">
        <f>"0005900793"</f>
        <v>0005900793</v>
      </c>
      <c r="F1431" s="5">
        <v>45209</v>
      </c>
      <c r="G1431" s="5">
        <v>54789</v>
      </c>
      <c r="H1431" s="4" t="str">
        <f>""</f>
        <v/>
      </c>
      <c r="I1431" s="4" t="str">
        <f>""</f>
        <v/>
      </c>
    </row>
    <row r="1432" spans="1:9" x14ac:dyDescent="0.3">
      <c r="A1432" s="1" t="str">
        <f>"40"</f>
        <v>40</v>
      </c>
      <c r="B1432" s="4" t="str">
        <f>"BOUGREAU MARC"</f>
        <v>BOUGREAU MARC</v>
      </c>
      <c r="C1432" s="4">
        <v>343528659</v>
      </c>
      <c r="D1432" s="3" t="s">
        <v>0</v>
      </c>
      <c r="E1432" s="2" t="str">
        <f>"0005209596"</f>
        <v>0005209596</v>
      </c>
      <c r="F1432" s="5">
        <v>38877</v>
      </c>
      <c r="G1432" s="5">
        <v>54789</v>
      </c>
      <c r="H1432" s="4" t="str">
        <f>""</f>
        <v/>
      </c>
      <c r="I1432" s="4" t="str">
        <f>""</f>
        <v/>
      </c>
    </row>
    <row r="1433" spans="1:9" x14ac:dyDescent="0.3">
      <c r="A1433" s="1" t="str">
        <f>"40"</f>
        <v>40</v>
      </c>
      <c r="B1433" s="4" t="str">
        <f>"BOUGREAU MARC"</f>
        <v>BOUGREAU MARC</v>
      </c>
      <c r="C1433" s="4">
        <v>343528659</v>
      </c>
      <c r="D1433" s="3" t="s">
        <v>0</v>
      </c>
      <c r="E1433" s="2" t="str">
        <f>"PR400004D"</f>
        <v>PR400004D</v>
      </c>
      <c r="F1433" s="5">
        <v>38877</v>
      </c>
      <c r="G1433" s="5">
        <v>54789</v>
      </c>
      <c r="H1433" s="4" t="str">
        <f>""</f>
        <v/>
      </c>
      <c r="I1433" s="4" t="str">
        <f>""</f>
        <v/>
      </c>
    </row>
    <row r="1434" spans="1:9" x14ac:dyDescent="0.3">
      <c r="A1434" s="1" t="str">
        <f>"40"</f>
        <v>40</v>
      </c>
      <c r="B1434" s="4" t="str">
        <f>"SAMSON SERVICES"</f>
        <v>SAMSON SERVICES</v>
      </c>
      <c r="C1434" s="4">
        <v>350870887</v>
      </c>
      <c r="D1434" s="3" t="s">
        <v>0</v>
      </c>
      <c r="E1434" s="2" t="str">
        <f>"0005209555"</f>
        <v>0005209555</v>
      </c>
      <c r="F1434" s="5">
        <v>43637</v>
      </c>
      <c r="G1434" s="5">
        <v>54789</v>
      </c>
      <c r="H1434" s="4" t="str">
        <f>""</f>
        <v/>
      </c>
      <c r="I1434" s="4" t="str">
        <f>""</f>
        <v/>
      </c>
    </row>
    <row r="1435" spans="1:9" x14ac:dyDescent="0.3">
      <c r="A1435" s="1" t="str">
        <f>"40"</f>
        <v>40</v>
      </c>
      <c r="B1435" s="4" t="str">
        <f>"SAMSON SERVICES"</f>
        <v>SAMSON SERVICES</v>
      </c>
      <c r="C1435" s="4">
        <v>350870887</v>
      </c>
      <c r="D1435" s="3" t="s">
        <v>0</v>
      </c>
      <c r="E1435" s="2" t="str">
        <f>"PR400002D"</f>
        <v>PR400002D</v>
      </c>
      <c r="F1435" s="5">
        <v>43637</v>
      </c>
      <c r="G1435" s="5">
        <v>54789</v>
      </c>
      <c r="H1435" s="4" t="str">
        <f>""</f>
        <v/>
      </c>
      <c r="I1435" s="4" t="str">
        <f>""</f>
        <v/>
      </c>
    </row>
    <row r="1436" spans="1:9" x14ac:dyDescent="0.3">
      <c r="A1436" s="1" t="str">
        <f>"40"</f>
        <v>40</v>
      </c>
      <c r="B1436" s="4" t="str">
        <f>"AFM RECYCLAGE"</f>
        <v>AFM RECYCLAGE</v>
      </c>
      <c r="C1436" s="4">
        <v>383482635</v>
      </c>
      <c r="D1436" s="3" t="s">
        <v>0</v>
      </c>
      <c r="E1436" s="2" t="str">
        <f>"0005201822"</f>
        <v>0005201822</v>
      </c>
      <c r="F1436" s="5">
        <v>40018</v>
      </c>
      <c r="G1436" s="5">
        <v>54789</v>
      </c>
      <c r="H1436" s="4" t="str">
        <f>""</f>
        <v/>
      </c>
      <c r="I1436" s="4" t="str">
        <f>""</f>
        <v/>
      </c>
    </row>
    <row r="1437" spans="1:9" x14ac:dyDescent="0.3">
      <c r="A1437" s="1" t="str">
        <f>"40"</f>
        <v>40</v>
      </c>
      <c r="B1437" s="4" t="str">
        <f>"AFM RECYCLAGE"</f>
        <v>AFM RECYCLAGE</v>
      </c>
      <c r="C1437" s="4">
        <v>383482635</v>
      </c>
      <c r="D1437" s="3" t="s">
        <v>0</v>
      </c>
      <c r="E1437" s="2" t="str">
        <f>"PR400020D"</f>
        <v>PR400020D</v>
      </c>
      <c r="F1437" s="5">
        <v>40018</v>
      </c>
      <c r="G1437" s="5">
        <v>54789</v>
      </c>
      <c r="H1437" s="4" t="str">
        <f>""</f>
        <v/>
      </c>
      <c r="I1437" s="4" t="str">
        <f>""</f>
        <v/>
      </c>
    </row>
    <row r="1438" spans="1:9" x14ac:dyDescent="0.3">
      <c r="A1438" s="1" t="str">
        <f>"40"</f>
        <v>40</v>
      </c>
      <c r="B1438" s="4" t="str">
        <f>"DECONS SUD AQUITAINE"</f>
        <v>DECONS SUD AQUITAINE</v>
      </c>
      <c r="C1438" s="4">
        <v>402713119</v>
      </c>
      <c r="D1438" s="3" t="s">
        <v>0</v>
      </c>
      <c r="E1438" s="2" t="str">
        <f>"PR400001D"</f>
        <v>PR400001D</v>
      </c>
      <c r="F1438" s="5">
        <v>43266</v>
      </c>
      <c r="G1438" s="5">
        <v>54789</v>
      </c>
      <c r="H1438" s="4" t="str">
        <f>""</f>
        <v/>
      </c>
      <c r="I1438" s="4" t="str">
        <f>""</f>
        <v/>
      </c>
    </row>
    <row r="1439" spans="1:9" x14ac:dyDescent="0.3">
      <c r="A1439" s="1" t="str">
        <f>"40"</f>
        <v>40</v>
      </c>
      <c r="B1439" s="4" t="str">
        <f>"SARL MONTEGUT AUTOS"</f>
        <v>SARL MONTEGUT AUTOS</v>
      </c>
      <c r="C1439" s="4">
        <v>448028449</v>
      </c>
      <c r="D1439" s="3" t="s">
        <v>0</v>
      </c>
      <c r="E1439" s="2" t="str">
        <f>"0005209595"</f>
        <v>0005209595</v>
      </c>
      <c r="F1439" s="5">
        <v>38887</v>
      </c>
      <c r="G1439" s="5">
        <v>54789</v>
      </c>
      <c r="H1439" s="4" t="str">
        <f>""</f>
        <v/>
      </c>
      <c r="I1439" s="4" t="str">
        <f>""</f>
        <v/>
      </c>
    </row>
    <row r="1440" spans="1:9" x14ac:dyDescent="0.3">
      <c r="A1440" s="1" t="str">
        <f>"40"</f>
        <v>40</v>
      </c>
      <c r="B1440" s="4" t="str">
        <f>"SARL MONTEGUT AUTOS"</f>
        <v>SARL MONTEGUT AUTOS</v>
      </c>
      <c r="C1440" s="4">
        <v>448028449</v>
      </c>
      <c r="D1440" s="3" t="s">
        <v>0</v>
      </c>
      <c r="E1440" s="2" t="str">
        <f>"PR400006D"</f>
        <v>PR400006D</v>
      </c>
      <c r="F1440" s="5">
        <v>38887</v>
      </c>
      <c r="G1440" s="5">
        <v>54789</v>
      </c>
      <c r="H1440" s="4" t="str">
        <f>""</f>
        <v/>
      </c>
      <c r="I1440" s="4" t="str">
        <f>""</f>
        <v/>
      </c>
    </row>
    <row r="1441" spans="1:9" x14ac:dyDescent="0.3">
      <c r="A1441" s="1" t="str">
        <f>"40"</f>
        <v>40</v>
      </c>
      <c r="B1441" s="4" t="str">
        <f>"COMMINGES METAUX SERVICES SAS   "</f>
        <v xml:space="preserve">COMMINGES METAUX SERVICES SAS   </v>
      </c>
      <c r="C1441" s="4">
        <v>480519032</v>
      </c>
      <c r="D1441" s="3" t="s">
        <v>0</v>
      </c>
      <c r="E1441" s="2" t="str">
        <f>"PR3100032D"</f>
        <v>PR3100032D</v>
      </c>
      <c r="F1441" s="5">
        <v>43788</v>
      </c>
      <c r="G1441" s="5">
        <v>54789</v>
      </c>
      <c r="H1441" s="4" t="str">
        <f>""</f>
        <v/>
      </c>
      <c r="I1441" s="4" t="str">
        <f>""</f>
        <v/>
      </c>
    </row>
    <row r="1442" spans="1:9" x14ac:dyDescent="0.3">
      <c r="A1442" s="1" t="str">
        <f>"40"</f>
        <v>40</v>
      </c>
      <c r="B1442" s="4" t="str">
        <f>"PHENIX RECYCLAGE"</f>
        <v>PHENIX RECYCLAGE</v>
      </c>
      <c r="C1442" s="4">
        <v>504612748</v>
      </c>
      <c r="D1442" s="3" t="s">
        <v>0</v>
      </c>
      <c r="E1442" s="2" t="str">
        <f>"0005208495"</f>
        <v>0005208495</v>
      </c>
      <c r="F1442" s="5">
        <v>43899</v>
      </c>
      <c r="G1442" s="5">
        <v>54789</v>
      </c>
      <c r="H1442" s="4" t="str">
        <f>""</f>
        <v/>
      </c>
      <c r="I1442" s="4" t="str">
        <f>""</f>
        <v/>
      </c>
    </row>
    <row r="1443" spans="1:9" x14ac:dyDescent="0.3">
      <c r="A1443" s="1" t="str">
        <f>"40"</f>
        <v>40</v>
      </c>
      <c r="B1443" s="4" t="str">
        <f>"PHENIX RECYCLAGE"</f>
        <v>PHENIX RECYCLAGE</v>
      </c>
      <c r="C1443" s="4">
        <v>504612748</v>
      </c>
      <c r="D1443" s="3" t="s">
        <v>0</v>
      </c>
      <c r="E1443" s="2" t="str">
        <f>"PR400016D"</f>
        <v>PR400016D</v>
      </c>
      <c r="F1443" s="5">
        <v>43899</v>
      </c>
      <c r="G1443" s="5">
        <v>54789</v>
      </c>
      <c r="H1443" s="4" t="str">
        <f>""</f>
        <v/>
      </c>
      <c r="I1443" s="4" t="str">
        <f>""</f>
        <v/>
      </c>
    </row>
    <row r="1444" spans="1:9" x14ac:dyDescent="0.3">
      <c r="A1444" s="1" t="str">
        <f>"40"</f>
        <v>40</v>
      </c>
      <c r="B1444" s="4" t="str">
        <f>"PERROU ET FILS"</f>
        <v>PERROU ET FILS</v>
      </c>
      <c r="C1444" s="4">
        <v>504904020</v>
      </c>
      <c r="D1444" s="3" t="s">
        <v>0</v>
      </c>
      <c r="E1444" s="2" t="str">
        <f>"0005202027"</f>
        <v>0005202027</v>
      </c>
      <c r="F1444" s="5">
        <v>43202</v>
      </c>
      <c r="G1444" s="5">
        <v>54789</v>
      </c>
      <c r="H1444" s="4" t="str">
        <f>""</f>
        <v/>
      </c>
      <c r="I1444" s="4" t="str">
        <f>""</f>
        <v/>
      </c>
    </row>
    <row r="1445" spans="1:9" x14ac:dyDescent="0.3">
      <c r="A1445" s="1" t="str">
        <f>"40"</f>
        <v>40</v>
      </c>
      <c r="B1445" s="4" t="str">
        <f>"PERROU ET FILS"</f>
        <v>PERROU ET FILS</v>
      </c>
      <c r="C1445" s="4">
        <v>504904020</v>
      </c>
      <c r="D1445" s="3" t="s">
        <v>0</v>
      </c>
      <c r="E1445" s="2" t="str">
        <f>"PR400014D"</f>
        <v>PR400014D</v>
      </c>
      <c r="F1445" s="5">
        <v>43202</v>
      </c>
      <c r="G1445" s="5">
        <v>54789</v>
      </c>
      <c r="H1445" s="4" t="str">
        <f>""</f>
        <v/>
      </c>
      <c r="I1445" s="4" t="str">
        <f>""</f>
        <v/>
      </c>
    </row>
    <row r="1446" spans="1:9" x14ac:dyDescent="0.3">
      <c r="A1446" s="1" t="str">
        <f>"40"</f>
        <v>40</v>
      </c>
      <c r="B1446" s="4" t="str">
        <f>"ADOUR METAL SAS"</f>
        <v>ADOUR METAL SAS</v>
      </c>
      <c r="C1446" s="4">
        <v>529562332</v>
      </c>
      <c r="D1446" s="3" t="s">
        <v>0</v>
      </c>
      <c r="E1446" s="2" t="str">
        <f>"0005208177"</f>
        <v>0005208177</v>
      </c>
      <c r="F1446" s="5">
        <v>40861</v>
      </c>
      <c r="G1446" s="5">
        <v>54789</v>
      </c>
      <c r="H1446" s="4" t="str">
        <f>""</f>
        <v/>
      </c>
      <c r="I1446" s="4" t="str">
        <f>""</f>
        <v/>
      </c>
    </row>
    <row r="1447" spans="1:9" x14ac:dyDescent="0.3">
      <c r="A1447" s="1" t="str">
        <f>"40"</f>
        <v>40</v>
      </c>
      <c r="B1447" s="4" t="str">
        <f>"ADOUR METAL SAS"</f>
        <v>ADOUR METAL SAS</v>
      </c>
      <c r="C1447" s="4">
        <v>529562332</v>
      </c>
      <c r="D1447" s="3" t="s">
        <v>0</v>
      </c>
      <c r="E1447" s="2" t="str">
        <f>"PR400019D"</f>
        <v>PR400019D</v>
      </c>
      <c r="F1447" s="5">
        <v>40861</v>
      </c>
      <c r="G1447" s="5">
        <v>54789</v>
      </c>
      <c r="H1447" s="4" t="str">
        <f>""</f>
        <v/>
      </c>
      <c r="I1447" s="4" t="str">
        <f>""</f>
        <v/>
      </c>
    </row>
    <row r="1448" spans="1:9" x14ac:dyDescent="0.3">
      <c r="A1448" s="1" t="str">
        <f>"40"</f>
        <v>40</v>
      </c>
      <c r="B1448" s="4" t="str">
        <f>"LAISNE CASSE AUTO"</f>
        <v>LAISNE CASSE AUTO</v>
      </c>
      <c r="C1448" s="4">
        <v>538195447</v>
      </c>
      <c r="D1448" s="3" t="s">
        <v>0</v>
      </c>
      <c r="E1448" s="2" t="str">
        <f>"0005209579"</f>
        <v>0005209579</v>
      </c>
      <c r="F1448" s="5">
        <v>42634</v>
      </c>
      <c r="G1448" s="5">
        <v>54789</v>
      </c>
      <c r="H1448" s="4" t="str">
        <f>""</f>
        <v/>
      </c>
      <c r="I1448" s="4" t="str">
        <f>""</f>
        <v/>
      </c>
    </row>
    <row r="1449" spans="1:9" x14ac:dyDescent="0.3">
      <c r="A1449" s="1" t="str">
        <f>"40"</f>
        <v>40</v>
      </c>
      <c r="B1449" s="4" t="str">
        <f>"LAISNE CASSE AUTO"</f>
        <v>LAISNE CASSE AUTO</v>
      </c>
      <c r="C1449" s="4">
        <v>538195447</v>
      </c>
      <c r="D1449" s="3" t="s">
        <v>0</v>
      </c>
      <c r="E1449" s="2" t="str">
        <f>"PR400021D"</f>
        <v>PR400021D</v>
      </c>
      <c r="F1449" s="5">
        <v>42634</v>
      </c>
      <c r="G1449" s="5">
        <v>54789</v>
      </c>
      <c r="H1449" s="4" t="str">
        <f>""</f>
        <v/>
      </c>
      <c r="I1449" s="4" t="str">
        <f>""</f>
        <v/>
      </c>
    </row>
    <row r="1450" spans="1:9" x14ac:dyDescent="0.3">
      <c r="A1450" s="1" t="str">
        <f>"40"</f>
        <v>40</v>
      </c>
      <c r="B1450" s="4" t="str">
        <f>"LE COMPTOIR DES METAUX"</f>
        <v>LE COMPTOIR DES METAUX</v>
      </c>
      <c r="C1450" s="4">
        <v>813183217</v>
      </c>
      <c r="D1450" s="3" t="s">
        <v>0</v>
      </c>
      <c r="E1450" s="2" t="str">
        <f>"0005209751"</f>
        <v>0005209751</v>
      </c>
      <c r="F1450" s="5">
        <v>43581</v>
      </c>
      <c r="G1450" s="5">
        <v>54789</v>
      </c>
      <c r="H1450" s="4" t="str">
        <f>""</f>
        <v/>
      </c>
      <c r="I1450" s="4" t="str">
        <f>""</f>
        <v/>
      </c>
    </row>
    <row r="1451" spans="1:9" x14ac:dyDescent="0.3">
      <c r="A1451" s="1" t="str">
        <f>"40"</f>
        <v>40</v>
      </c>
      <c r="B1451" s="4" t="str">
        <f>"LE COMPTOIR DES METAUX"</f>
        <v>LE COMPTOIR DES METAUX</v>
      </c>
      <c r="C1451" s="4">
        <v>813183217</v>
      </c>
      <c r="D1451" s="3" t="s">
        <v>0</v>
      </c>
      <c r="E1451" s="2" t="str">
        <f>"PR400005D"</f>
        <v>PR400005D</v>
      </c>
      <c r="F1451" s="5">
        <v>43581</v>
      </c>
      <c r="G1451" s="5">
        <v>54789</v>
      </c>
      <c r="H1451" s="4" t="str">
        <f>""</f>
        <v/>
      </c>
      <c r="I1451" s="4" t="str">
        <f>""</f>
        <v/>
      </c>
    </row>
    <row r="1452" spans="1:9" x14ac:dyDescent="0.3">
      <c r="A1452" s="1" t="str">
        <f>"40"</f>
        <v>40</v>
      </c>
      <c r="B1452" s="4" t="str">
        <f>"GARAGE BORDELAIS ET FILS"</f>
        <v>GARAGE BORDELAIS ET FILS</v>
      </c>
      <c r="C1452" s="4">
        <v>814721163</v>
      </c>
      <c r="D1452" s="3" t="s">
        <v>0</v>
      </c>
      <c r="E1452" s="2" t="str">
        <f>"0005209589"</f>
        <v>0005209589</v>
      </c>
      <c r="F1452" s="5">
        <v>43284</v>
      </c>
      <c r="G1452" s="5">
        <v>54789</v>
      </c>
      <c r="H1452" s="4" t="str">
        <f>""</f>
        <v/>
      </c>
      <c r="I1452" s="4" t="str">
        <f>""</f>
        <v/>
      </c>
    </row>
    <row r="1453" spans="1:9" x14ac:dyDescent="0.3">
      <c r="A1453" s="1" t="str">
        <f>"40"</f>
        <v>40</v>
      </c>
      <c r="B1453" s="4" t="str">
        <f>"GARAGE BORDELAIS ET FILS"</f>
        <v>GARAGE BORDELAIS ET FILS</v>
      </c>
      <c r="C1453" s="4">
        <v>814721163</v>
      </c>
      <c r="D1453" s="3" t="s">
        <v>0</v>
      </c>
      <c r="E1453" s="2" t="str">
        <f>"PR400003D"</f>
        <v>PR400003D</v>
      </c>
      <c r="F1453" s="5">
        <v>43284</v>
      </c>
      <c r="G1453" s="5">
        <v>54789</v>
      </c>
      <c r="H1453" s="4" t="str">
        <f>""</f>
        <v/>
      </c>
      <c r="I1453" s="4" t="str">
        <f>""</f>
        <v/>
      </c>
    </row>
    <row r="1454" spans="1:9" x14ac:dyDescent="0.3">
      <c r="A1454" s="1" t="str">
        <f>"40"</f>
        <v>40</v>
      </c>
      <c r="B1454" s="4" t="str">
        <f>"DECONS SUD AQUITAINE"</f>
        <v>DECONS SUD AQUITAINE</v>
      </c>
      <c r="C1454" s="4">
        <v>832209944</v>
      </c>
      <c r="D1454" s="3" t="s">
        <v>0</v>
      </c>
      <c r="E1454" s="2" t="str">
        <f>"0005205154"</f>
        <v>0005205154</v>
      </c>
      <c r="F1454" s="5">
        <v>43266</v>
      </c>
      <c r="G1454" s="5">
        <v>54789</v>
      </c>
      <c r="H1454" s="4" t="str">
        <f>""</f>
        <v/>
      </c>
      <c r="I1454" s="4" t="str">
        <f>""</f>
        <v/>
      </c>
    </row>
    <row r="1455" spans="1:9" x14ac:dyDescent="0.3">
      <c r="A1455" s="1" t="str">
        <f>"40"</f>
        <v>40</v>
      </c>
      <c r="B1455" s="4" t="str">
        <f>"DECONS SUD AQUITAINE"</f>
        <v>DECONS SUD AQUITAINE</v>
      </c>
      <c r="C1455" s="4">
        <v>832209944</v>
      </c>
      <c r="D1455" s="3" t="s">
        <v>0</v>
      </c>
      <c r="E1455" s="2" t="str">
        <f>"PR400001D"</f>
        <v>PR400001D</v>
      </c>
      <c r="F1455" s="5">
        <v>43266</v>
      </c>
      <c r="G1455" s="5">
        <v>54789</v>
      </c>
      <c r="H1455" s="4" t="str">
        <f>""</f>
        <v/>
      </c>
      <c r="I1455" s="4" t="str">
        <f>""</f>
        <v/>
      </c>
    </row>
    <row r="1456" spans="1:9" x14ac:dyDescent="0.3">
      <c r="A1456" s="1" t="str">
        <f>"40"</f>
        <v>40</v>
      </c>
      <c r="B1456" s="4" t="str">
        <f>"DECONS SUD AQUITAINE"</f>
        <v>DECONS SUD AQUITAINE</v>
      </c>
      <c r="C1456" s="4">
        <v>832209944</v>
      </c>
      <c r="D1456" s="3" t="s">
        <v>0</v>
      </c>
      <c r="E1456" s="2" t="str">
        <f>"PR400007D"</f>
        <v>PR400007D</v>
      </c>
      <c r="F1456" s="5">
        <v>43293</v>
      </c>
      <c r="G1456" s="5">
        <v>54789</v>
      </c>
      <c r="H1456" s="4" t="str">
        <f>""</f>
        <v/>
      </c>
      <c r="I1456" s="4" t="str">
        <f>""</f>
        <v/>
      </c>
    </row>
    <row r="1457" spans="1:9" x14ac:dyDescent="0.3">
      <c r="A1457" s="1" t="str">
        <f>"41"</f>
        <v>41</v>
      </c>
      <c r="B1457" s="4" t="str">
        <f>"BARBAT RECYCLAGE"</f>
        <v>BARBAT RECYCLAGE</v>
      </c>
      <c r="C1457" s="4">
        <v>389682691</v>
      </c>
      <c r="D1457" s="3" t="s">
        <v>0</v>
      </c>
      <c r="E1457" s="2" t="str">
        <f>"PR4100013D"</f>
        <v>PR4100013D</v>
      </c>
      <c r="F1457" s="5">
        <v>43475</v>
      </c>
      <c r="G1457" s="5">
        <v>54789</v>
      </c>
      <c r="H1457" s="4" t="str">
        <f>""</f>
        <v/>
      </c>
      <c r="I1457" s="4" t="str">
        <f>""</f>
        <v/>
      </c>
    </row>
    <row r="1458" spans="1:9" x14ac:dyDescent="0.3">
      <c r="A1458" s="1" t="str">
        <f>"41"</f>
        <v>41</v>
      </c>
      <c r="B1458" s="4" t="str">
        <f>"BARBAT RECYCLAGE"</f>
        <v>BARBAT RECYCLAGE</v>
      </c>
      <c r="C1458" s="4">
        <v>389682691</v>
      </c>
      <c r="D1458" s="3" t="s">
        <v>0</v>
      </c>
      <c r="E1458" s="2" t="str">
        <f>"0010004922"</f>
        <v>0010004922</v>
      </c>
      <c r="F1458" s="5">
        <v>43475</v>
      </c>
      <c r="G1458" s="5">
        <v>54789</v>
      </c>
      <c r="H1458" s="4" t="str">
        <f>""</f>
        <v/>
      </c>
      <c r="I1458" s="4" t="str">
        <f>""</f>
        <v/>
      </c>
    </row>
    <row r="1459" spans="1:9" x14ac:dyDescent="0.3">
      <c r="A1459" s="1" t="str">
        <f>"41"</f>
        <v>41</v>
      </c>
      <c r="B1459" s="4" t="str">
        <f>"SAS INDRA"</f>
        <v>SAS INDRA</v>
      </c>
      <c r="C1459" s="4">
        <v>400641296</v>
      </c>
      <c r="D1459" s="3" t="s">
        <v>0</v>
      </c>
      <c r="E1459" s="2" t="str">
        <f>"PR4100002D"</f>
        <v>PR4100002D</v>
      </c>
      <c r="F1459" s="5">
        <v>38852</v>
      </c>
      <c r="G1459" s="5">
        <v>54789</v>
      </c>
      <c r="H1459" s="4" t="str">
        <f>""</f>
        <v/>
      </c>
      <c r="I1459" s="4" t="str">
        <f>""</f>
        <v/>
      </c>
    </row>
    <row r="1460" spans="1:9" x14ac:dyDescent="0.3">
      <c r="A1460" s="1" t="str">
        <f>"41"</f>
        <v>41</v>
      </c>
      <c r="B1460" s="4" t="str">
        <f>"SAS INDRA"</f>
        <v>SAS INDRA</v>
      </c>
      <c r="C1460" s="4">
        <v>400641296</v>
      </c>
      <c r="D1460" s="3" t="s">
        <v>0</v>
      </c>
      <c r="E1460" s="2" t="str">
        <f>"0010007720"</f>
        <v>0010007720</v>
      </c>
      <c r="F1460" s="5">
        <v>41081</v>
      </c>
      <c r="G1460" s="5">
        <v>54789</v>
      </c>
      <c r="H1460" s="4" t="str">
        <f>""</f>
        <v/>
      </c>
      <c r="I1460" s="4" t="str">
        <f>""</f>
        <v/>
      </c>
    </row>
    <row r="1461" spans="1:9" x14ac:dyDescent="0.3">
      <c r="A1461" s="1" t="str">
        <f>"41"</f>
        <v>41</v>
      </c>
      <c r="B1461" s="4" t="str">
        <f>"PASSENAUD RECYCLAGE"</f>
        <v>PASSENAUD RECYCLAGE</v>
      </c>
      <c r="C1461" s="4">
        <v>412242315</v>
      </c>
      <c r="D1461" s="3" t="s">
        <v>0</v>
      </c>
      <c r="E1461" s="2" t="str">
        <f>"PR4100021D"</f>
        <v>PR4100021D</v>
      </c>
      <c r="F1461" s="5">
        <v>42445</v>
      </c>
      <c r="G1461" s="5">
        <v>54789</v>
      </c>
      <c r="H1461" s="4" t="str">
        <f>""</f>
        <v/>
      </c>
      <c r="I1461" s="4" t="str">
        <f>""</f>
        <v/>
      </c>
    </row>
    <row r="1462" spans="1:9" x14ac:dyDescent="0.3">
      <c r="A1462" s="1" t="str">
        <f>"41"</f>
        <v>41</v>
      </c>
      <c r="B1462" s="4" t="str">
        <f>"PASSENAUD RECYCLAGE"</f>
        <v>PASSENAUD RECYCLAGE</v>
      </c>
      <c r="C1462" s="4">
        <v>412242315</v>
      </c>
      <c r="D1462" s="3" t="s">
        <v>0</v>
      </c>
      <c r="E1462" s="2" t="str">
        <f>"0010004936"</f>
        <v>0010004936</v>
      </c>
      <c r="F1462" s="5">
        <v>42445</v>
      </c>
      <c r="G1462" s="5">
        <v>54789</v>
      </c>
      <c r="H1462" s="4" t="str">
        <f>""</f>
        <v/>
      </c>
      <c r="I1462" s="4" t="str">
        <f>""</f>
        <v/>
      </c>
    </row>
    <row r="1463" spans="1:9" x14ac:dyDescent="0.3">
      <c r="A1463" s="1" t="str">
        <f>"41"</f>
        <v>41</v>
      </c>
      <c r="B1463" s="4" t="str">
        <f>"EG METAUX"</f>
        <v>EG METAUX</v>
      </c>
      <c r="C1463" s="4">
        <v>414194779</v>
      </c>
      <c r="D1463" s="3" t="s">
        <v>0</v>
      </c>
      <c r="E1463" s="2" t="str">
        <f>"PR4100018D"</f>
        <v>PR4100018D</v>
      </c>
      <c r="F1463" s="5">
        <v>44194</v>
      </c>
      <c r="G1463" s="5">
        <v>54789</v>
      </c>
      <c r="H1463" s="4" t="str">
        <f>""</f>
        <v/>
      </c>
      <c r="I1463" s="4" t="str">
        <f>""</f>
        <v/>
      </c>
    </row>
    <row r="1464" spans="1:9" x14ac:dyDescent="0.3">
      <c r="A1464" s="1" t="str">
        <f>"41"</f>
        <v>41</v>
      </c>
      <c r="B1464" s="4" t="str">
        <f>"EG METAUX"</f>
        <v>EG METAUX</v>
      </c>
      <c r="C1464" s="4">
        <v>414194779</v>
      </c>
      <c r="D1464" s="3" t="s">
        <v>0</v>
      </c>
      <c r="E1464" s="2" t="str">
        <f>"0010004970"</f>
        <v>0010004970</v>
      </c>
      <c r="F1464" s="5">
        <v>44194</v>
      </c>
      <c r="G1464" s="5">
        <v>54789</v>
      </c>
      <c r="H1464" s="4" t="str">
        <f>""</f>
        <v/>
      </c>
      <c r="I1464" s="4" t="str">
        <f>""</f>
        <v/>
      </c>
    </row>
    <row r="1465" spans="1:9" x14ac:dyDescent="0.3">
      <c r="A1465" s="1" t="str">
        <f>"41"</f>
        <v>41</v>
      </c>
      <c r="B1465" s="4" t="str">
        <f>"GIEVRES AUTO MOTO"</f>
        <v>GIEVRES AUTO MOTO</v>
      </c>
      <c r="C1465" s="4">
        <v>419934666</v>
      </c>
      <c r="D1465" s="3" t="s">
        <v>0</v>
      </c>
      <c r="E1465" s="2" t="str">
        <f>"PR4100007D"</f>
        <v>PR4100007D</v>
      </c>
      <c r="F1465" s="5">
        <v>43881</v>
      </c>
      <c r="G1465" s="5">
        <v>54789</v>
      </c>
      <c r="H1465" s="4" t="str">
        <f>""</f>
        <v/>
      </c>
      <c r="I1465" s="4" t="str">
        <f>""</f>
        <v/>
      </c>
    </row>
    <row r="1466" spans="1:9" x14ac:dyDescent="0.3">
      <c r="A1466" s="1" t="str">
        <f>"41"</f>
        <v>41</v>
      </c>
      <c r="B1466" s="4" t="str">
        <f>"GIEVRES AUTO MOTO"</f>
        <v>GIEVRES AUTO MOTO</v>
      </c>
      <c r="C1466" s="4">
        <v>419934666</v>
      </c>
      <c r="D1466" s="3" t="s">
        <v>0</v>
      </c>
      <c r="E1466" s="2" t="str">
        <f>"0010004941"</f>
        <v>0010004941</v>
      </c>
      <c r="F1466" s="5">
        <v>43881</v>
      </c>
      <c r="G1466" s="5">
        <v>54789</v>
      </c>
      <c r="H1466" s="4" t="str">
        <f>""</f>
        <v/>
      </c>
      <c r="I1466" s="4" t="str">
        <f>""</f>
        <v/>
      </c>
    </row>
    <row r="1467" spans="1:9" x14ac:dyDescent="0.3">
      <c r="A1467" s="1" t="str">
        <f>"41"</f>
        <v>41</v>
      </c>
      <c r="B1467" s="4" t="str">
        <f>"S.B. AUTO PIECES CRASH AUTO 41"</f>
        <v>S.B. AUTO PIECES CRASH AUTO 41</v>
      </c>
      <c r="C1467" s="4">
        <v>477709315</v>
      </c>
      <c r="D1467" s="3" t="s">
        <v>0</v>
      </c>
      <c r="E1467" s="2" t="str">
        <f>"PR4100005D"</f>
        <v>PR4100005D</v>
      </c>
      <c r="F1467" s="5">
        <v>43222</v>
      </c>
      <c r="G1467" s="5">
        <v>54789</v>
      </c>
      <c r="H1467" s="4" t="str">
        <f>""</f>
        <v/>
      </c>
      <c r="I1467" s="4" t="str">
        <f>""</f>
        <v/>
      </c>
    </row>
    <row r="1468" spans="1:9" x14ac:dyDescent="0.3">
      <c r="A1468" s="1" t="str">
        <f>"41"</f>
        <v>41</v>
      </c>
      <c r="B1468" s="4" t="str">
        <f>"S.B. AUTO PIECES CRASH AUTO 41"</f>
        <v>S.B. AUTO PIECES CRASH AUTO 41</v>
      </c>
      <c r="C1468" s="4">
        <v>477709315</v>
      </c>
      <c r="D1468" s="3" t="s">
        <v>0</v>
      </c>
      <c r="E1468" s="2" t="str">
        <f>"0010004952"</f>
        <v>0010004952</v>
      </c>
      <c r="F1468" s="5">
        <v>43222</v>
      </c>
      <c r="G1468" s="5">
        <v>54789</v>
      </c>
      <c r="H1468" s="4" t="str">
        <f>""</f>
        <v/>
      </c>
      <c r="I1468" s="4" t="str">
        <f>""</f>
        <v/>
      </c>
    </row>
    <row r="1469" spans="1:9" x14ac:dyDescent="0.3">
      <c r="A1469" s="1" t="str">
        <f>"41"</f>
        <v>41</v>
      </c>
      <c r="B1469" s="4" t="str">
        <f>"CASS' AUTOS MEUNIER C."</f>
        <v>CASS' AUTOS MEUNIER C.</v>
      </c>
      <c r="C1469" s="4">
        <v>508767084</v>
      </c>
      <c r="D1469" s="3" t="s">
        <v>0</v>
      </c>
      <c r="E1469" s="2" t="str">
        <f>"PR4100001D"</f>
        <v>PR4100001D</v>
      </c>
      <c r="F1469" s="5">
        <v>43249</v>
      </c>
      <c r="G1469" s="5">
        <v>54789</v>
      </c>
      <c r="H1469" s="4" t="str">
        <f>""</f>
        <v/>
      </c>
      <c r="I1469" s="4" t="str">
        <f>""</f>
        <v/>
      </c>
    </row>
    <row r="1470" spans="1:9" x14ac:dyDescent="0.3">
      <c r="A1470" s="1" t="str">
        <f>"41"</f>
        <v>41</v>
      </c>
      <c r="B1470" s="4" t="str">
        <f>"CASS' AUTOS MEUNIER C."</f>
        <v>CASS' AUTOS MEUNIER C.</v>
      </c>
      <c r="C1470" s="4">
        <v>508767084</v>
      </c>
      <c r="D1470" s="3" t="s">
        <v>0</v>
      </c>
      <c r="E1470" s="2" t="str">
        <f>"0010004919"</f>
        <v>0010004919</v>
      </c>
      <c r="F1470" s="5">
        <v>43249</v>
      </c>
      <c r="G1470" s="5">
        <v>54789</v>
      </c>
      <c r="H1470" s="4" t="str">
        <f>""</f>
        <v/>
      </c>
      <c r="I1470" s="4" t="str">
        <f>""</f>
        <v/>
      </c>
    </row>
    <row r="1471" spans="1:9" x14ac:dyDescent="0.3">
      <c r="A1471" s="1" t="str">
        <f>"41"</f>
        <v>41</v>
      </c>
      <c r="B1471" s="4" t="str">
        <f>"ETABLISSEMENTS J. MENUT"</f>
        <v>ETABLISSEMENTS J. MENUT</v>
      </c>
      <c r="C1471" s="4">
        <v>781620059</v>
      </c>
      <c r="D1471" s="3" t="s">
        <v>0</v>
      </c>
      <c r="E1471" s="2" t="str">
        <f>"PR4100012D"</f>
        <v>PR4100012D</v>
      </c>
      <c r="F1471" s="5">
        <v>43460</v>
      </c>
      <c r="G1471" s="5">
        <v>54789</v>
      </c>
      <c r="H1471" s="4" t="str">
        <f>""</f>
        <v/>
      </c>
      <c r="I1471" s="4" t="str">
        <f>""</f>
        <v/>
      </c>
    </row>
    <row r="1472" spans="1:9" x14ac:dyDescent="0.3">
      <c r="A1472" s="1" t="str">
        <f>"41"</f>
        <v>41</v>
      </c>
      <c r="B1472" s="4" t="str">
        <f>"ETABLISSEMENTS J. MENUT"</f>
        <v>ETABLISSEMENTS J. MENUT</v>
      </c>
      <c r="C1472" s="4">
        <v>781620059</v>
      </c>
      <c r="D1472" s="3" t="s">
        <v>0</v>
      </c>
      <c r="E1472" s="2" t="str">
        <f>"0010004964"</f>
        <v>0010004964</v>
      </c>
      <c r="F1472" s="5">
        <v>43460</v>
      </c>
      <c r="G1472" s="5">
        <v>54789</v>
      </c>
      <c r="H1472" s="4" t="str">
        <f>""</f>
        <v/>
      </c>
      <c r="I1472" s="4" t="str">
        <f>""</f>
        <v/>
      </c>
    </row>
    <row r="1473" spans="1:9" x14ac:dyDescent="0.3">
      <c r="A1473" s="1" t="str">
        <f>"41"</f>
        <v>41</v>
      </c>
      <c r="B1473" s="4" t="str">
        <f>"AUTO RECUPER LASCAUX"</f>
        <v>AUTO RECUPER LASCAUX</v>
      </c>
      <c r="C1473" s="4">
        <v>807438221</v>
      </c>
      <c r="D1473" s="3" t="s">
        <v>0</v>
      </c>
      <c r="E1473" s="2" t="str">
        <f>"PR4100004D"</f>
        <v>PR4100004D</v>
      </c>
      <c r="F1473" s="5">
        <v>43353</v>
      </c>
      <c r="G1473" s="5">
        <v>54789</v>
      </c>
      <c r="H1473" s="4" t="str">
        <f>""</f>
        <v/>
      </c>
      <c r="I1473" s="4" t="str">
        <f>""</f>
        <v/>
      </c>
    </row>
    <row r="1474" spans="1:9" x14ac:dyDescent="0.3">
      <c r="A1474" s="1" t="str">
        <f>"41"</f>
        <v>41</v>
      </c>
      <c r="B1474" s="4" t="str">
        <f>"AUTO RECUPER LASCAUX"</f>
        <v>AUTO RECUPER LASCAUX</v>
      </c>
      <c r="C1474" s="4">
        <v>807438221</v>
      </c>
      <c r="D1474" s="3" t="s">
        <v>0</v>
      </c>
      <c r="E1474" s="2" t="str">
        <f>"0010004961"</f>
        <v>0010004961</v>
      </c>
      <c r="F1474" s="5">
        <v>43353</v>
      </c>
      <c r="G1474" s="5">
        <v>54789</v>
      </c>
      <c r="H1474" s="4" t="str">
        <f>""</f>
        <v/>
      </c>
      <c r="I1474" s="4" t="str">
        <f>""</f>
        <v/>
      </c>
    </row>
    <row r="1475" spans="1:9" x14ac:dyDescent="0.3">
      <c r="A1475" s="1" t="str">
        <f>"41"</f>
        <v>41</v>
      </c>
      <c r="B1475" s="4" t="str">
        <f>"SARL de FAMILLE OUHMAD"</f>
        <v>SARL de FAMILLE OUHMAD</v>
      </c>
      <c r="C1475" s="4">
        <v>898495916</v>
      </c>
      <c r="D1475" s="3" t="s">
        <v>0</v>
      </c>
      <c r="E1475" s="2" t="str">
        <f>"PR4100025D"</f>
        <v>PR4100025D</v>
      </c>
      <c r="F1475" s="5">
        <v>44442</v>
      </c>
      <c r="G1475" s="5">
        <v>54789</v>
      </c>
      <c r="H1475" s="4" t="str">
        <f>""</f>
        <v/>
      </c>
      <c r="I1475" s="4" t="str">
        <f>""</f>
        <v/>
      </c>
    </row>
    <row r="1476" spans="1:9" x14ac:dyDescent="0.3">
      <c r="A1476" s="1" t="str">
        <f>"41"</f>
        <v>41</v>
      </c>
      <c r="B1476" s="4" t="str">
        <f>"SARL de FAMILLE OUHMAD"</f>
        <v>SARL de FAMILLE OUHMAD</v>
      </c>
      <c r="C1476" s="4">
        <v>898495916</v>
      </c>
      <c r="D1476" s="3" t="s">
        <v>0</v>
      </c>
      <c r="E1476" s="2" t="str">
        <f>"0010007710"</f>
        <v>0010007710</v>
      </c>
      <c r="F1476" s="5">
        <v>44442</v>
      </c>
      <c r="G1476" s="5">
        <v>54789</v>
      </c>
      <c r="H1476" s="4" t="str">
        <f>""</f>
        <v/>
      </c>
      <c r="I1476" s="4" t="str">
        <f>""</f>
        <v/>
      </c>
    </row>
    <row r="1477" spans="1:9" x14ac:dyDescent="0.3">
      <c r="A1477" s="1" t="str">
        <f>"41"</f>
        <v>41</v>
      </c>
      <c r="B1477" s="4" t="str">
        <f>"DM CASSE AUTO"</f>
        <v>DM CASSE AUTO</v>
      </c>
      <c r="C1477" s="4">
        <v>933462483</v>
      </c>
      <c r="D1477" s="3" t="s">
        <v>0</v>
      </c>
      <c r="E1477" s="2" t="str">
        <f>"PR4100005D"</f>
        <v>PR4100005D</v>
      </c>
      <c r="F1477" s="5">
        <v>43222</v>
      </c>
      <c r="G1477" s="5">
        <v>54789</v>
      </c>
      <c r="H1477" s="4" t="str">
        <f>""</f>
        <v/>
      </c>
      <c r="I1477" s="4" t="str">
        <f>""</f>
        <v/>
      </c>
    </row>
    <row r="1478" spans="1:9" x14ac:dyDescent="0.3">
      <c r="A1478" s="1" t="str">
        <f>"41"</f>
        <v>41</v>
      </c>
      <c r="B1478" s="4" t="str">
        <f>"DM CASSE AUTO"</f>
        <v>DM CASSE AUTO</v>
      </c>
      <c r="C1478" s="4">
        <v>933462483</v>
      </c>
      <c r="D1478" s="3" t="s">
        <v>0</v>
      </c>
      <c r="E1478" s="2" t="str">
        <f>"0010004952"</f>
        <v>0010004952</v>
      </c>
      <c r="F1478" s="5">
        <v>43222</v>
      </c>
      <c r="G1478" s="5">
        <v>54789</v>
      </c>
      <c r="H1478" s="4" t="str">
        <f>""</f>
        <v/>
      </c>
      <c r="I1478" s="4" t="str">
        <f>""</f>
        <v/>
      </c>
    </row>
    <row r="1479" spans="1:9" x14ac:dyDescent="0.3">
      <c r="A1479" s="1" t="str">
        <f>"41"</f>
        <v>41</v>
      </c>
      <c r="B1479" s="4" t="str">
        <f>"SAS BLOIS RECYCLAGE AUTOMOBILES"</f>
        <v>SAS BLOIS RECYCLAGE AUTOMOBILES</v>
      </c>
      <c r="C1479" s="4">
        <v>985256239</v>
      </c>
      <c r="D1479" s="3" t="s">
        <v>0</v>
      </c>
      <c r="E1479" s="2" t="str">
        <f>"PR4100026D"</f>
        <v>PR4100026D</v>
      </c>
      <c r="F1479" s="5">
        <v>45433</v>
      </c>
      <c r="G1479" s="5">
        <v>54789</v>
      </c>
      <c r="H1479" s="4" t="str">
        <f>""</f>
        <v/>
      </c>
      <c r="I1479" s="4" t="str">
        <f>""</f>
        <v/>
      </c>
    </row>
    <row r="1480" spans="1:9" x14ac:dyDescent="0.3">
      <c r="A1480" s="1" t="str">
        <f>"41"</f>
        <v>41</v>
      </c>
      <c r="B1480" s="4" t="str">
        <f>"SAS BLOIS RECYCLAGE AUTOMOBILES"</f>
        <v>SAS BLOIS RECYCLAGE AUTOMOBILES</v>
      </c>
      <c r="C1480" s="4">
        <v>985256239</v>
      </c>
      <c r="D1480" s="3" t="s">
        <v>0</v>
      </c>
      <c r="E1480" s="2" t="str">
        <f>"0010005497"</f>
        <v>0010005497</v>
      </c>
      <c r="F1480" s="5">
        <v>45433</v>
      </c>
      <c r="G1480" s="5">
        <v>54789</v>
      </c>
      <c r="H1480" s="4" t="str">
        <f>""</f>
        <v/>
      </c>
      <c r="I1480" s="4" t="str">
        <f>""</f>
        <v/>
      </c>
    </row>
    <row r="1481" spans="1:9" x14ac:dyDescent="0.3">
      <c r="A1481" s="1" t="str">
        <f>"42"</f>
        <v>42</v>
      </c>
      <c r="B1481" s="4" t="str">
        <f>"MELI JEAN SAS"</f>
        <v>MELI JEAN SAS</v>
      </c>
      <c r="C1481" s="4">
        <v>326233178</v>
      </c>
      <c r="D1481" s="3" t="s">
        <v>0</v>
      </c>
      <c r="E1481" s="2" t="str">
        <f>"PR4200022D"</f>
        <v>PR4200022D</v>
      </c>
      <c r="F1481" s="5">
        <v>41793</v>
      </c>
      <c r="G1481" s="5">
        <v>54789</v>
      </c>
      <c r="H1481" s="4" t="str">
        <f>""</f>
        <v/>
      </c>
      <c r="I1481" s="4" t="str">
        <f>""</f>
        <v/>
      </c>
    </row>
    <row r="1482" spans="1:9" x14ac:dyDescent="0.3">
      <c r="A1482" s="1" t="str">
        <f>"42"</f>
        <v>42</v>
      </c>
      <c r="B1482" s="4" t="str">
        <f>"MELI JEAN SAS"</f>
        <v>MELI JEAN SAS</v>
      </c>
      <c r="C1482" s="4">
        <v>326233178</v>
      </c>
      <c r="D1482" s="3" t="s">
        <v>0</v>
      </c>
      <c r="E1482" s="2" t="str">
        <f>"0006105046"</f>
        <v>0006105046</v>
      </c>
      <c r="F1482" s="5">
        <v>41793</v>
      </c>
      <c r="G1482" s="5">
        <v>54789</v>
      </c>
      <c r="H1482" s="4" t="str">
        <f>""</f>
        <v/>
      </c>
      <c r="I1482" s="4" t="str">
        <f>""</f>
        <v/>
      </c>
    </row>
    <row r="1483" spans="1:9" x14ac:dyDescent="0.3">
      <c r="A1483" s="1" t="str">
        <f>"42"</f>
        <v>42</v>
      </c>
      <c r="B1483" s="4" t="str">
        <f>"S.A.S. JEAN MELI"</f>
        <v>S.A.S. JEAN MELI</v>
      </c>
      <c r="C1483" s="4">
        <v>326233178</v>
      </c>
      <c r="D1483" s="3" t="s">
        <v>0</v>
      </c>
      <c r="E1483" s="2" t="str">
        <f>"PR4200031B"</f>
        <v>PR4200031B</v>
      </c>
      <c r="F1483" s="5">
        <v>43761</v>
      </c>
      <c r="G1483" s="5">
        <v>54789</v>
      </c>
      <c r="H1483" s="4" t="str">
        <f>""</f>
        <v/>
      </c>
      <c r="I1483" s="4" t="str">
        <f>""</f>
        <v/>
      </c>
    </row>
    <row r="1484" spans="1:9" x14ac:dyDescent="0.3">
      <c r="A1484" s="1" t="str">
        <f>"42"</f>
        <v>42</v>
      </c>
      <c r="B1484" s="4" t="str">
        <f>"S.A.S. JEAN MELI"</f>
        <v>S.A.S. JEAN MELI</v>
      </c>
      <c r="C1484" s="4">
        <v>326233178</v>
      </c>
      <c r="D1484" s="3" t="s">
        <v>0</v>
      </c>
      <c r="E1484" s="2" t="str">
        <f>"0006105181"</f>
        <v>0006105181</v>
      </c>
      <c r="F1484" s="5">
        <v>43761</v>
      </c>
      <c r="G1484" s="5">
        <v>54789</v>
      </c>
      <c r="H1484" s="4" t="str">
        <f>""</f>
        <v/>
      </c>
      <c r="I1484" s="4" t="str">
        <f>""</f>
        <v/>
      </c>
    </row>
    <row r="1485" spans="1:9" x14ac:dyDescent="0.3">
      <c r="A1485" s="1" t="str">
        <f>"42"</f>
        <v>42</v>
      </c>
      <c r="B1485" s="4" t="str">
        <f>"S.A.S. JEAN MELI"</f>
        <v>S.A.S. JEAN MELI</v>
      </c>
      <c r="C1485" s="4">
        <v>326233178</v>
      </c>
      <c r="D1485" s="3" t="s">
        <v>0</v>
      </c>
      <c r="E1485" s="2" t="str">
        <f>"PR4200002D"</f>
        <v>PR4200002D</v>
      </c>
      <c r="F1485" s="5">
        <v>43248</v>
      </c>
      <c r="G1485" s="5">
        <v>54789</v>
      </c>
      <c r="H1485" s="4" t="str">
        <f>""</f>
        <v/>
      </c>
      <c r="I1485" s="4" t="str">
        <f>""</f>
        <v/>
      </c>
    </row>
    <row r="1486" spans="1:9" x14ac:dyDescent="0.3">
      <c r="A1486" s="1" t="str">
        <f>"42"</f>
        <v>42</v>
      </c>
      <c r="B1486" s="4" t="str">
        <f>"S.A.S. JEAN MELI"</f>
        <v>S.A.S. JEAN MELI</v>
      </c>
      <c r="C1486" s="4">
        <v>326233178</v>
      </c>
      <c r="D1486" s="3" t="s">
        <v>0</v>
      </c>
      <c r="E1486" s="2" t="str">
        <f>"0006105181"</f>
        <v>0006105181</v>
      </c>
      <c r="F1486" s="5">
        <v>43248</v>
      </c>
      <c r="G1486" s="5">
        <v>54789</v>
      </c>
      <c r="H1486" s="4" t="str">
        <f>""</f>
        <v/>
      </c>
      <c r="I1486" s="4" t="str">
        <f>""</f>
        <v/>
      </c>
    </row>
    <row r="1487" spans="1:9" x14ac:dyDescent="0.3">
      <c r="A1487" s="1" t="str">
        <f>"42"</f>
        <v>42</v>
      </c>
      <c r="B1487" s="4" t="str">
        <f>"S.A.S. CORAM AUTO"</f>
        <v>S.A.S. CORAM AUTO</v>
      </c>
      <c r="C1487" s="4">
        <v>331495820</v>
      </c>
      <c r="D1487" s="3" t="s">
        <v>0</v>
      </c>
      <c r="E1487" s="2" t="str">
        <f>"PR4200001D"</f>
        <v>PR4200001D</v>
      </c>
      <c r="F1487" s="5">
        <v>43156</v>
      </c>
      <c r="G1487" s="5">
        <v>54789</v>
      </c>
      <c r="H1487" s="4" t="str">
        <f>""</f>
        <v/>
      </c>
      <c r="I1487" s="4" t="str">
        <f>""</f>
        <v/>
      </c>
    </row>
    <row r="1488" spans="1:9" x14ac:dyDescent="0.3">
      <c r="A1488" s="1" t="str">
        <f>"42"</f>
        <v>42</v>
      </c>
      <c r="B1488" s="4" t="str">
        <f>"S.A.S. CORAM AUTO"</f>
        <v>S.A.S. CORAM AUTO</v>
      </c>
      <c r="C1488" s="4">
        <v>331495820</v>
      </c>
      <c r="D1488" s="3" t="s">
        <v>0</v>
      </c>
      <c r="E1488" s="2" t="str">
        <f>"0010500132"</f>
        <v>0010500132</v>
      </c>
      <c r="F1488" s="5">
        <v>43156</v>
      </c>
      <c r="G1488" s="5">
        <v>54789</v>
      </c>
      <c r="H1488" s="4" t="str">
        <f>""</f>
        <v/>
      </c>
      <c r="I1488" s="4" t="str">
        <f>""</f>
        <v/>
      </c>
    </row>
    <row r="1489" spans="1:9" x14ac:dyDescent="0.3">
      <c r="A1489" s="1" t="str">
        <f>"42"</f>
        <v>42</v>
      </c>
      <c r="B1489" s="4" t="str">
        <f>"Société PURFER"</f>
        <v>Société PURFER</v>
      </c>
      <c r="C1489" s="4">
        <v>332628171</v>
      </c>
      <c r="D1489" s="3" t="s">
        <v>0</v>
      </c>
      <c r="E1489" s="2" t="str">
        <f>"PR4200020D"</f>
        <v>PR4200020D</v>
      </c>
      <c r="F1489" s="5">
        <v>43332</v>
      </c>
      <c r="G1489" s="5">
        <v>54789</v>
      </c>
      <c r="H1489" s="4" t="str">
        <f>""</f>
        <v/>
      </c>
      <c r="I1489" s="4" t="str">
        <f>""</f>
        <v/>
      </c>
    </row>
    <row r="1490" spans="1:9" x14ac:dyDescent="0.3">
      <c r="A1490" s="1" t="str">
        <f>"42"</f>
        <v>42</v>
      </c>
      <c r="B1490" s="4" t="str">
        <f>"Société PURFER"</f>
        <v>Société PURFER</v>
      </c>
      <c r="C1490" s="4">
        <v>332628171</v>
      </c>
      <c r="D1490" s="3" t="s">
        <v>0</v>
      </c>
      <c r="E1490" s="2" t="str">
        <f>"0006105117"</f>
        <v>0006105117</v>
      </c>
      <c r="F1490" s="5">
        <v>43332</v>
      </c>
      <c r="G1490" s="5">
        <v>54789</v>
      </c>
      <c r="H1490" s="4" t="str">
        <f>""</f>
        <v/>
      </c>
      <c r="I1490" s="4" t="str">
        <f>""</f>
        <v/>
      </c>
    </row>
    <row r="1491" spans="1:9" x14ac:dyDescent="0.3">
      <c r="A1491" s="1" t="str">
        <f>"42"</f>
        <v>42</v>
      </c>
      <c r="B1491" s="4" t="str">
        <f>"S.A.S..PURFER"</f>
        <v>S.A.S..PURFER</v>
      </c>
      <c r="C1491" s="4">
        <v>332628171</v>
      </c>
      <c r="D1491" s="3" t="s">
        <v>0</v>
      </c>
      <c r="E1491" s="2" t="str">
        <f>"PR4200027D"</f>
        <v>PR4200027D</v>
      </c>
      <c r="F1491" s="5">
        <v>40252</v>
      </c>
      <c r="G1491" s="5">
        <v>54789</v>
      </c>
      <c r="H1491" s="4" t="str">
        <f>""</f>
        <v/>
      </c>
      <c r="I1491" s="4" t="str">
        <f>""</f>
        <v/>
      </c>
    </row>
    <row r="1492" spans="1:9" x14ac:dyDescent="0.3">
      <c r="A1492" s="1" t="str">
        <f>"42"</f>
        <v>42</v>
      </c>
      <c r="B1492" s="4" t="str">
        <f>"S.A.S..PURFER"</f>
        <v>S.A.S..PURFER</v>
      </c>
      <c r="C1492" s="4">
        <v>332628171</v>
      </c>
      <c r="D1492" s="3" t="s">
        <v>0</v>
      </c>
      <c r="E1492" s="2" t="str">
        <f>"0006104965"</f>
        <v>0006104965</v>
      </c>
      <c r="F1492" s="5">
        <v>40252</v>
      </c>
      <c r="G1492" s="5">
        <v>54789</v>
      </c>
      <c r="H1492" s="4" t="str">
        <f>""</f>
        <v/>
      </c>
      <c r="I1492" s="4" t="str">
        <f>""</f>
        <v/>
      </c>
    </row>
    <row r="1493" spans="1:9" x14ac:dyDescent="0.3">
      <c r="A1493" s="1" t="str">
        <f>"42"</f>
        <v>42</v>
      </c>
      <c r="B1493" s="4" t="str">
        <f>"Société PURFER"</f>
        <v>Société PURFER</v>
      </c>
      <c r="C1493" s="4">
        <v>332628171</v>
      </c>
      <c r="D1493" s="3" t="s">
        <v>0</v>
      </c>
      <c r="E1493" s="2" t="str">
        <f>"PR4200029D"</f>
        <v>PR4200029D</v>
      </c>
      <c r="F1493" s="5">
        <v>42783</v>
      </c>
      <c r="G1493" s="5">
        <v>54789</v>
      </c>
      <c r="H1493" s="4" t="str">
        <f>""</f>
        <v/>
      </c>
      <c r="I1493" s="4" t="str">
        <f>""</f>
        <v/>
      </c>
    </row>
    <row r="1494" spans="1:9" x14ac:dyDescent="0.3">
      <c r="A1494" s="1" t="str">
        <f>"42"</f>
        <v>42</v>
      </c>
      <c r="B1494" s="4" t="str">
        <f>"Société PURFER"</f>
        <v>Société PURFER</v>
      </c>
      <c r="C1494" s="4">
        <v>332628171</v>
      </c>
      <c r="D1494" s="3" t="s">
        <v>0</v>
      </c>
      <c r="E1494" s="2" t="str">
        <f>"0006109257"</f>
        <v>0006109257</v>
      </c>
      <c r="F1494" s="5">
        <v>42783</v>
      </c>
      <c r="G1494" s="5">
        <v>54789</v>
      </c>
      <c r="H1494" s="4" t="str">
        <f>""</f>
        <v/>
      </c>
      <c r="I1494" s="4" t="str">
        <f>""</f>
        <v/>
      </c>
    </row>
    <row r="1495" spans="1:9" x14ac:dyDescent="0.3">
      <c r="A1495" s="1" t="str">
        <f>"42"</f>
        <v>42</v>
      </c>
      <c r="B1495" s="4" t="str">
        <f>"SUEZ RV Centre Est"</f>
        <v>SUEZ RV Centre Est</v>
      </c>
      <c r="C1495" s="4">
        <v>343488508</v>
      </c>
      <c r="D1495" s="3" t="s">
        <v>0</v>
      </c>
      <c r="E1495" s="2" t="str">
        <f>"PR4200023D"</f>
        <v>PR4200023D</v>
      </c>
      <c r="F1495" s="5">
        <v>41934</v>
      </c>
      <c r="G1495" s="5">
        <v>54789</v>
      </c>
      <c r="H1495" s="4" t="str">
        <f>""</f>
        <v/>
      </c>
      <c r="I1495" s="4" t="str">
        <f>""</f>
        <v/>
      </c>
    </row>
    <row r="1496" spans="1:9" x14ac:dyDescent="0.3">
      <c r="A1496" s="1" t="str">
        <f>"42"</f>
        <v>42</v>
      </c>
      <c r="B1496" s="4" t="str">
        <f>"SUEZ RV Centre Est"</f>
        <v>SUEZ RV Centre Est</v>
      </c>
      <c r="C1496" s="4">
        <v>343488508</v>
      </c>
      <c r="D1496" s="3" t="s">
        <v>0</v>
      </c>
      <c r="E1496" s="2" t="str">
        <f>"0006104881"</f>
        <v>0006104881</v>
      </c>
      <c r="F1496" s="5">
        <v>41934</v>
      </c>
      <c r="G1496" s="5">
        <v>54789</v>
      </c>
      <c r="H1496" s="4" t="str">
        <f>""</f>
        <v/>
      </c>
      <c r="I1496" s="4" t="str">
        <f>""</f>
        <v/>
      </c>
    </row>
    <row r="1497" spans="1:9" x14ac:dyDescent="0.3">
      <c r="A1497" s="1" t="str">
        <f>"42"</f>
        <v>42</v>
      </c>
      <c r="B1497" s="4" t="str">
        <f>"SUEZ RV Centre Est"</f>
        <v>SUEZ RV Centre Est</v>
      </c>
      <c r="C1497" s="4">
        <v>343488508</v>
      </c>
      <c r="D1497" s="3" t="s">
        <v>0</v>
      </c>
      <c r="E1497" s="2" t="str">
        <f>"PR4200033D"</f>
        <v>PR4200033D</v>
      </c>
      <c r="F1497" s="5">
        <v>41934</v>
      </c>
      <c r="G1497" s="5">
        <v>54789</v>
      </c>
      <c r="H1497" s="4" t="str">
        <f>""</f>
        <v/>
      </c>
      <c r="I1497" s="4" t="str">
        <f>""</f>
        <v/>
      </c>
    </row>
    <row r="1498" spans="1:9" x14ac:dyDescent="0.3">
      <c r="A1498" s="1" t="str">
        <f>"42"</f>
        <v>42</v>
      </c>
      <c r="B1498" s="4" t="str">
        <f>"SUEZ RV Centre Est"</f>
        <v>SUEZ RV Centre Est</v>
      </c>
      <c r="C1498" s="4">
        <v>343488508</v>
      </c>
      <c r="D1498" s="3" t="s">
        <v>0</v>
      </c>
      <c r="E1498" s="2" t="str">
        <f>"0006104970"</f>
        <v>0006104970</v>
      </c>
      <c r="F1498" s="5">
        <v>41934</v>
      </c>
      <c r="G1498" s="5">
        <v>54789</v>
      </c>
      <c r="H1498" s="4" t="str">
        <f>""</f>
        <v/>
      </c>
      <c r="I1498" s="4" t="str">
        <f>""</f>
        <v/>
      </c>
    </row>
    <row r="1499" spans="1:9" x14ac:dyDescent="0.3">
      <c r="A1499" s="1" t="str">
        <f>"42"</f>
        <v>42</v>
      </c>
      <c r="B1499" s="4" t="str">
        <f>"SUEZ RV Centre Est"</f>
        <v>SUEZ RV Centre Est</v>
      </c>
      <c r="C1499" s="4">
        <v>343488508</v>
      </c>
      <c r="D1499" s="3" t="s">
        <v>0</v>
      </c>
      <c r="E1499" s="2" t="str">
        <f>"PR4200034D"</f>
        <v>PR4200034D</v>
      </c>
      <c r="F1499" s="5">
        <v>43641</v>
      </c>
      <c r="G1499" s="5">
        <v>54789</v>
      </c>
      <c r="H1499" s="4" t="str">
        <f>""</f>
        <v/>
      </c>
      <c r="I1499" s="4" t="str">
        <f>""</f>
        <v/>
      </c>
    </row>
    <row r="1500" spans="1:9" x14ac:dyDescent="0.3">
      <c r="A1500" s="1" t="str">
        <f>"42"</f>
        <v>42</v>
      </c>
      <c r="B1500" s="4" t="str">
        <f>"SUEZ RV Centre Est"</f>
        <v>SUEZ RV Centre Est</v>
      </c>
      <c r="C1500" s="4">
        <v>343488508</v>
      </c>
      <c r="D1500" s="3" t="s">
        <v>0</v>
      </c>
      <c r="E1500" s="2" t="str">
        <f>"0010500154"</f>
        <v>0010500154</v>
      </c>
      <c r="F1500" s="5">
        <v>43641</v>
      </c>
      <c r="G1500" s="5">
        <v>54789</v>
      </c>
      <c r="H1500" s="4" t="str">
        <f>""</f>
        <v/>
      </c>
      <c r="I1500" s="4" t="str">
        <f>""</f>
        <v/>
      </c>
    </row>
    <row r="1501" spans="1:9" x14ac:dyDescent="0.3">
      <c r="A1501" s="1" t="str">
        <f>"42"</f>
        <v>42</v>
      </c>
      <c r="B1501" s="4" t="str">
        <f>"S.A.R.L. DUFOUR"</f>
        <v>S.A.R.L. DUFOUR</v>
      </c>
      <c r="C1501" s="4">
        <v>343917506</v>
      </c>
      <c r="D1501" s="3" t="s">
        <v>0</v>
      </c>
      <c r="E1501" s="2" t="str">
        <f>"PR4200005D"</f>
        <v>PR4200005D</v>
      </c>
      <c r="F1501" s="5">
        <v>43264</v>
      </c>
      <c r="G1501" s="5">
        <v>54789</v>
      </c>
      <c r="H1501" s="4" t="str">
        <f>""</f>
        <v/>
      </c>
      <c r="I1501" s="4" t="str">
        <f>""</f>
        <v/>
      </c>
    </row>
    <row r="1502" spans="1:9" x14ac:dyDescent="0.3">
      <c r="A1502" s="1" t="str">
        <f>"42"</f>
        <v>42</v>
      </c>
      <c r="B1502" s="4" t="str">
        <f>"S.A.R.L. DUFOUR"</f>
        <v>S.A.R.L. DUFOUR</v>
      </c>
      <c r="C1502" s="4">
        <v>343917506</v>
      </c>
      <c r="D1502" s="3" t="s">
        <v>0</v>
      </c>
      <c r="E1502" s="2" t="str">
        <f>"0006104943"</f>
        <v>0006104943</v>
      </c>
      <c r="F1502" s="5">
        <v>43264</v>
      </c>
      <c r="G1502" s="5">
        <v>54789</v>
      </c>
      <c r="H1502" s="4" t="str">
        <f>""</f>
        <v/>
      </c>
      <c r="I1502" s="4" t="str">
        <f>""</f>
        <v/>
      </c>
    </row>
    <row r="1503" spans="1:9" x14ac:dyDescent="0.3">
      <c r="A1503" s="1" t="str">
        <f>"42"</f>
        <v>42</v>
      </c>
      <c r="B1503" s="4" t="str">
        <f>"ETABLISSEMENTS CASTAGNIER PERRET"</f>
        <v>ETABLISSEMENTS CASTAGNIER PERRET</v>
      </c>
      <c r="C1503" s="4">
        <v>343945945</v>
      </c>
      <c r="D1503" s="3" t="s">
        <v>0</v>
      </c>
      <c r="E1503" s="2" t="str">
        <f>"PR4200026D"</f>
        <v>PR4200026D</v>
      </c>
      <c r="F1503" s="5">
        <v>42206</v>
      </c>
      <c r="G1503" s="5">
        <v>54789</v>
      </c>
      <c r="H1503" s="4" t="str">
        <f>""</f>
        <v/>
      </c>
      <c r="I1503" s="4" t="str">
        <f>""</f>
        <v/>
      </c>
    </row>
    <row r="1504" spans="1:9" x14ac:dyDescent="0.3">
      <c r="A1504" s="1" t="str">
        <f>"42"</f>
        <v>42</v>
      </c>
      <c r="B1504" s="4" t="str">
        <f>"ETABLISSEMENTS CASTAGNIER PERRET"</f>
        <v>ETABLISSEMENTS CASTAGNIER PERRET</v>
      </c>
      <c r="C1504" s="4">
        <v>343945945</v>
      </c>
      <c r="D1504" s="3" t="s">
        <v>0</v>
      </c>
      <c r="E1504" s="2" t="str">
        <f>"0006105020"</f>
        <v>0006105020</v>
      </c>
      <c r="F1504" s="5">
        <v>42206</v>
      </c>
      <c r="G1504" s="5">
        <v>54789</v>
      </c>
      <c r="H1504" s="4" t="str">
        <f>""</f>
        <v/>
      </c>
      <c r="I1504" s="4" t="str">
        <f>""</f>
        <v/>
      </c>
    </row>
    <row r="1505" spans="1:9" x14ac:dyDescent="0.3">
      <c r="A1505" s="1" t="str">
        <f>"42"</f>
        <v>42</v>
      </c>
      <c r="B1505" s="4" t="str">
        <f>"SARL VERI CASSE"</f>
        <v>SARL VERI CASSE</v>
      </c>
      <c r="C1505" s="4">
        <v>390131753</v>
      </c>
      <c r="D1505" s="3" t="s">
        <v>0</v>
      </c>
      <c r="E1505" s="2" t="str">
        <f>"PR4200011D"</f>
        <v>PR4200011D</v>
      </c>
      <c r="F1505" s="5">
        <v>43384</v>
      </c>
      <c r="G1505" s="5">
        <v>54789</v>
      </c>
      <c r="H1505" s="4" t="str">
        <f>""</f>
        <v/>
      </c>
      <c r="I1505" s="4" t="str">
        <f>""</f>
        <v/>
      </c>
    </row>
    <row r="1506" spans="1:9" x14ac:dyDescent="0.3">
      <c r="A1506" s="1" t="str">
        <f>"42"</f>
        <v>42</v>
      </c>
      <c r="B1506" s="4" t="str">
        <f>"SARL VERI CASSE"</f>
        <v>SARL VERI CASSE</v>
      </c>
      <c r="C1506" s="4">
        <v>390131753</v>
      </c>
      <c r="D1506" s="3" t="s">
        <v>0</v>
      </c>
      <c r="E1506" s="2" t="str">
        <f>"0006105183"</f>
        <v>0006105183</v>
      </c>
      <c r="F1506" s="5">
        <v>43384</v>
      </c>
      <c r="G1506" s="5">
        <v>54789</v>
      </c>
      <c r="H1506" s="4" t="str">
        <f>""</f>
        <v/>
      </c>
      <c r="I1506" s="4" t="str">
        <f>""</f>
        <v/>
      </c>
    </row>
    <row r="1507" spans="1:9" x14ac:dyDescent="0.3">
      <c r="A1507" s="1" t="str">
        <f>"42"</f>
        <v>42</v>
      </c>
      <c r="B1507" s="4" t="str">
        <f>"S.A ARNAUD DEMOLITION"</f>
        <v>S.A ARNAUD DEMOLITION</v>
      </c>
      <c r="C1507" s="4">
        <v>393040571</v>
      </c>
      <c r="D1507" s="3" t="s">
        <v>0</v>
      </c>
      <c r="E1507" s="2" t="str">
        <f>"PR4200012D"</f>
        <v>PR4200012D</v>
      </c>
      <c r="F1507" s="5">
        <v>39014</v>
      </c>
      <c r="G1507" s="5">
        <v>54789</v>
      </c>
      <c r="H1507" s="4" t="str">
        <f>""</f>
        <v/>
      </c>
      <c r="I1507" s="4" t="str">
        <f>""</f>
        <v/>
      </c>
    </row>
    <row r="1508" spans="1:9" x14ac:dyDescent="0.3">
      <c r="A1508" s="1" t="str">
        <f>"42"</f>
        <v>42</v>
      </c>
      <c r="B1508" s="4" t="str">
        <f>"S.A ARNAUD DEMOLITION"</f>
        <v>S.A ARNAUD DEMOLITION</v>
      </c>
      <c r="C1508" s="4">
        <v>393040571</v>
      </c>
      <c r="D1508" s="3" t="s">
        <v>0</v>
      </c>
      <c r="E1508" s="2" t="str">
        <f>"0006104859"</f>
        <v>0006104859</v>
      </c>
      <c r="F1508" s="5">
        <v>39014</v>
      </c>
      <c r="G1508" s="5">
        <v>54789</v>
      </c>
      <c r="H1508" s="4" t="str">
        <f>""</f>
        <v/>
      </c>
      <c r="I1508" s="4" t="str">
        <f>""</f>
        <v/>
      </c>
    </row>
    <row r="1509" spans="1:9" x14ac:dyDescent="0.3">
      <c r="A1509" s="1" t="str">
        <f>"42"</f>
        <v>42</v>
      </c>
      <c r="B1509" s="4" t="str">
        <f>"Etablissement GATT"</f>
        <v>Etablissement GATT</v>
      </c>
      <c r="C1509" s="4">
        <v>400308607</v>
      </c>
      <c r="D1509" s="3" t="s">
        <v>0</v>
      </c>
      <c r="E1509" s="2" t="str">
        <f>"PR4200028D"</f>
        <v>PR4200028D</v>
      </c>
      <c r="F1509" s="5">
        <v>43397</v>
      </c>
      <c r="G1509" s="5">
        <v>54789</v>
      </c>
      <c r="H1509" s="4" t="str">
        <f>""</f>
        <v/>
      </c>
      <c r="I1509" s="4" t="str">
        <f>""</f>
        <v/>
      </c>
    </row>
    <row r="1510" spans="1:9" x14ac:dyDescent="0.3">
      <c r="A1510" s="1" t="str">
        <f>"42"</f>
        <v>42</v>
      </c>
      <c r="B1510" s="4" t="str">
        <f>"Etablissement GATT"</f>
        <v>Etablissement GATT</v>
      </c>
      <c r="C1510" s="4">
        <v>400308607</v>
      </c>
      <c r="D1510" s="3" t="s">
        <v>0</v>
      </c>
      <c r="E1510" s="2" t="str">
        <f>"0006107539"</f>
        <v>0006107539</v>
      </c>
      <c r="F1510" s="5">
        <v>43397</v>
      </c>
      <c r="G1510" s="5">
        <v>54789</v>
      </c>
      <c r="H1510" s="4" t="str">
        <f>""</f>
        <v/>
      </c>
      <c r="I1510" s="4" t="str">
        <f>""</f>
        <v/>
      </c>
    </row>
    <row r="1511" spans="1:9" x14ac:dyDescent="0.3">
      <c r="A1511" s="1" t="str">
        <f>"42"</f>
        <v>42</v>
      </c>
      <c r="B1511" s="4" t="str">
        <f>"SARL O D V"</f>
        <v>SARL O D V</v>
      </c>
      <c r="C1511" s="4">
        <v>421916420</v>
      </c>
      <c r="D1511" s="3" t="s">
        <v>0</v>
      </c>
      <c r="E1511" s="2" t="str">
        <f>"PR4200007D"</f>
        <v>PR4200007D</v>
      </c>
      <c r="F1511" s="5">
        <v>41053</v>
      </c>
      <c r="G1511" s="5">
        <v>54789</v>
      </c>
      <c r="H1511" s="4" t="str">
        <f>""</f>
        <v/>
      </c>
      <c r="I1511" s="4" t="str">
        <f>""</f>
        <v/>
      </c>
    </row>
    <row r="1512" spans="1:9" x14ac:dyDescent="0.3">
      <c r="A1512" s="1" t="str">
        <f>"42"</f>
        <v>42</v>
      </c>
      <c r="B1512" s="4" t="str">
        <f>"SARL O D V"</f>
        <v>SARL O D V</v>
      </c>
      <c r="C1512" s="4">
        <v>421916420</v>
      </c>
      <c r="D1512" s="3" t="s">
        <v>0</v>
      </c>
      <c r="E1512" s="2" t="str">
        <f>"0006104997"</f>
        <v>0006104997</v>
      </c>
      <c r="F1512" s="5">
        <v>41053</v>
      </c>
      <c r="G1512" s="5">
        <v>54789</v>
      </c>
      <c r="H1512" s="4" t="str">
        <f>""</f>
        <v/>
      </c>
      <c r="I1512" s="4" t="str">
        <f>""</f>
        <v/>
      </c>
    </row>
    <row r="1513" spans="1:9" x14ac:dyDescent="0.3">
      <c r="A1513" s="1" t="str">
        <f>"42"</f>
        <v>42</v>
      </c>
      <c r="B1513" s="4" t="str">
        <f>"AUTO PIECES GIBAND PEYRACHE"</f>
        <v>AUTO PIECES GIBAND PEYRACHE</v>
      </c>
      <c r="C1513" s="4">
        <v>434809174</v>
      </c>
      <c r="D1513" s="3" t="s">
        <v>0</v>
      </c>
      <c r="E1513" s="2" t="str">
        <f>"PR4200004D"</f>
        <v>PR4200004D</v>
      </c>
      <c r="F1513" s="5">
        <v>40988</v>
      </c>
      <c r="G1513" s="5">
        <v>54789</v>
      </c>
      <c r="H1513" s="4" t="str">
        <f>""</f>
        <v/>
      </c>
      <c r="I1513" s="4" t="str">
        <f>""</f>
        <v/>
      </c>
    </row>
    <row r="1514" spans="1:9" x14ac:dyDescent="0.3">
      <c r="A1514" s="1" t="str">
        <f>"42"</f>
        <v>42</v>
      </c>
      <c r="B1514" s="4" t="str">
        <f>"AUTO PIECES GIBAND PEYRACHE"</f>
        <v>AUTO PIECES GIBAND PEYRACHE</v>
      </c>
      <c r="C1514" s="4">
        <v>434809174</v>
      </c>
      <c r="D1514" s="3" t="s">
        <v>0</v>
      </c>
      <c r="E1514" s="2" t="str">
        <f>"0006105116"</f>
        <v>0006105116</v>
      </c>
      <c r="F1514" s="5">
        <v>40988</v>
      </c>
      <c r="G1514" s="5">
        <v>54789</v>
      </c>
      <c r="H1514" s="4" t="str">
        <f>""</f>
        <v/>
      </c>
      <c r="I1514" s="4" t="str">
        <f>""</f>
        <v/>
      </c>
    </row>
    <row r="1515" spans="1:9" x14ac:dyDescent="0.3">
      <c r="A1515" s="1" t="str">
        <f>"42"</f>
        <v>42</v>
      </c>
      <c r="B1515" s="4" t="str">
        <f>"CASS' AUTOS MEUNIER C."</f>
        <v>CASS' AUTOS MEUNIER C.</v>
      </c>
      <c r="C1515" s="4">
        <v>508767084</v>
      </c>
      <c r="D1515" s="3" t="s">
        <v>0</v>
      </c>
      <c r="E1515" s="2" t="str">
        <f>"0010004919"</f>
        <v>0010004919</v>
      </c>
      <c r="F1515" s="5">
        <v>43249</v>
      </c>
      <c r="G1515" s="5">
        <v>54789</v>
      </c>
      <c r="H1515" s="4" t="str">
        <f>""</f>
        <v/>
      </c>
      <c r="I1515" s="4" t="str">
        <f>""</f>
        <v/>
      </c>
    </row>
    <row r="1516" spans="1:9" x14ac:dyDescent="0.3">
      <c r="A1516" s="1" t="str">
        <f>"42"</f>
        <v>42</v>
      </c>
      <c r="B1516" s="4" t="str">
        <f>"CASS' AUTOS MEUNIER C."</f>
        <v>CASS' AUTOS MEUNIER C.</v>
      </c>
      <c r="C1516" s="4">
        <v>508767084</v>
      </c>
      <c r="D1516" s="3" t="s">
        <v>0</v>
      </c>
      <c r="E1516" s="2" t="str">
        <f>"0010004919"</f>
        <v>0010004919</v>
      </c>
      <c r="F1516" s="5">
        <v>43249</v>
      </c>
      <c r="G1516" s="5">
        <v>54789</v>
      </c>
      <c r="H1516" s="4" t="str">
        <f>""</f>
        <v/>
      </c>
      <c r="I1516" s="4" t="str">
        <f>""</f>
        <v/>
      </c>
    </row>
    <row r="1517" spans="1:9" x14ac:dyDescent="0.3">
      <c r="A1517" s="1" t="str">
        <f>"42"</f>
        <v>42</v>
      </c>
      <c r="B1517" s="4" t="str">
        <f>"MELI PIECES AUTO"</f>
        <v>MELI PIECES AUTO</v>
      </c>
      <c r="C1517" s="4">
        <v>518640461</v>
      </c>
      <c r="D1517" s="3" t="s">
        <v>0</v>
      </c>
      <c r="E1517" s="2" t="str">
        <f>"PR4200036D"</f>
        <v>PR4200036D</v>
      </c>
      <c r="F1517" s="5">
        <v>43892</v>
      </c>
      <c r="G1517" s="5">
        <v>54789</v>
      </c>
      <c r="H1517" s="4" t="str">
        <f>""</f>
        <v/>
      </c>
      <c r="I1517" s="4" t="str">
        <f>""</f>
        <v/>
      </c>
    </row>
    <row r="1518" spans="1:9" x14ac:dyDescent="0.3">
      <c r="A1518" s="1" t="str">
        <f>"42"</f>
        <v>42</v>
      </c>
      <c r="B1518" s="4" t="str">
        <f>"MELI PIECES AUTO"</f>
        <v>MELI PIECES AUTO</v>
      </c>
      <c r="C1518" s="4">
        <v>518640461</v>
      </c>
      <c r="D1518" s="3" t="s">
        <v>0</v>
      </c>
      <c r="E1518" s="2" t="str">
        <f>"0003201262"</f>
        <v>0003201262</v>
      </c>
      <c r="F1518" s="5">
        <v>43892</v>
      </c>
      <c r="G1518" s="5">
        <v>54789</v>
      </c>
      <c r="H1518" s="4" t="str">
        <f>""</f>
        <v/>
      </c>
      <c r="I1518" s="4" t="str">
        <f>""</f>
        <v/>
      </c>
    </row>
    <row r="1519" spans="1:9" x14ac:dyDescent="0.3">
      <c r="A1519" s="1" t="str">
        <f>"42"</f>
        <v>42</v>
      </c>
      <c r="B1519" s="4" t="str">
        <f>"LOIRE MOTO"</f>
        <v>LOIRE MOTO</v>
      </c>
      <c r="C1519" s="4">
        <v>537739450</v>
      </c>
      <c r="D1519" s="3" t="s">
        <v>0</v>
      </c>
      <c r="E1519" s="2" t="str">
        <f>"PR4200032D"</f>
        <v>PR4200032D</v>
      </c>
      <c r="F1519" s="5">
        <v>41791</v>
      </c>
      <c r="G1519" s="5">
        <v>54789</v>
      </c>
      <c r="H1519" s="4" t="str">
        <f>""</f>
        <v/>
      </c>
      <c r="I1519" s="4" t="str">
        <f>""</f>
        <v/>
      </c>
    </row>
    <row r="1520" spans="1:9" x14ac:dyDescent="0.3">
      <c r="A1520" s="1" t="str">
        <f>"42"</f>
        <v>42</v>
      </c>
      <c r="B1520" s="4" t="str">
        <f>"LOIRE MOTO"</f>
        <v>LOIRE MOTO</v>
      </c>
      <c r="C1520" s="4">
        <v>537739450</v>
      </c>
      <c r="D1520" s="3" t="s">
        <v>0</v>
      </c>
      <c r="E1520" s="2" t="str">
        <f>"0006113933"</f>
        <v>0006113933</v>
      </c>
      <c r="F1520" s="5">
        <v>41791</v>
      </c>
      <c r="G1520" s="5">
        <v>54789</v>
      </c>
      <c r="H1520" s="4" t="str">
        <f>""</f>
        <v/>
      </c>
      <c r="I1520" s="4" t="str">
        <f>""</f>
        <v/>
      </c>
    </row>
    <row r="1521" spans="1:9" x14ac:dyDescent="0.3">
      <c r="A1521" s="1" t="str">
        <f>"42"</f>
        <v>42</v>
      </c>
      <c r="B1521" s="4" t="str">
        <f>"S.A.R.L. FAURE FILS CTMO"</f>
        <v>S.A.R.L. FAURE FILS CTMO</v>
      </c>
      <c r="C1521" s="4">
        <v>574506259</v>
      </c>
      <c r="D1521" s="3" t="s">
        <v>0</v>
      </c>
      <c r="E1521" s="2" t="str">
        <f>"PR4200015D"</f>
        <v>PR4200015D</v>
      </c>
      <c r="F1521" s="5">
        <v>39224</v>
      </c>
      <c r="G1521" s="5">
        <v>54789</v>
      </c>
      <c r="H1521" s="4" t="str">
        <f>""</f>
        <v/>
      </c>
      <c r="I1521" s="4" t="str">
        <f>""</f>
        <v/>
      </c>
    </row>
    <row r="1522" spans="1:9" x14ac:dyDescent="0.3">
      <c r="A1522" s="1" t="str">
        <f>"42"</f>
        <v>42</v>
      </c>
      <c r="B1522" s="4" t="str">
        <f>"S.A.R.L. FAURE FILS CTMO"</f>
        <v>S.A.R.L. FAURE FILS CTMO</v>
      </c>
      <c r="C1522" s="4">
        <v>574506259</v>
      </c>
      <c r="D1522" s="3" t="s">
        <v>0</v>
      </c>
      <c r="E1522" s="2" t="str">
        <f>"0010500302"</f>
        <v>0010500302</v>
      </c>
      <c r="F1522" s="5">
        <v>39224</v>
      </c>
      <c r="G1522" s="5">
        <v>54789</v>
      </c>
      <c r="H1522" s="4" t="str">
        <f>""</f>
        <v/>
      </c>
      <c r="I1522" s="4" t="str">
        <f>""</f>
        <v/>
      </c>
    </row>
    <row r="1523" spans="1:9" x14ac:dyDescent="0.3">
      <c r="A1523" s="1" t="str">
        <f>"42"</f>
        <v>42</v>
      </c>
      <c r="B1523" s="4" t="str">
        <f>"AFL"</f>
        <v>AFL</v>
      </c>
      <c r="C1523" s="4">
        <v>654500842</v>
      </c>
      <c r="D1523" s="3" t="s">
        <v>0</v>
      </c>
      <c r="E1523" s="2" t="str">
        <f>"PR4200038D"</f>
        <v>PR4200038D</v>
      </c>
      <c r="F1523" s="5">
        <v>45630</v>
      </c>
      <c r="G1523" s="5">
        <v>54789</v>
      </c>
      <c r="H1523" s="4" t="str">
        <f>""</f>
        <v/>
      </c>
      <c r="I1523" s="4" t="str">
        <f>""</f>
        <v/>
      </c>
    </row>
    <row r="1524" spans="1:9" x14ac:dyDescent="0.3">
      <c r="A1524" s="1" t="str">
        <f>"42"</f>
        <v>42</v>
      </c>
      <c r="B1524" s="4" t="str">
        <f>"AFL"</f>
        <v>AFL</v>
      </c>
      <c r="C1524" s="4">
        <v>654500842</v>
      </c>
      <c r="D1524" s="3" t="s">
        <v>0</v>
      </c>
      <c r="E1524" s="2" t="str">
        <f>"00061054860"</f>
        <v>00061054860</v>
      </c>
      <c r="F1524" s="5">
        <v>45630</v>
      </c>
      <c r="G1524" s="5">
        <v>54789</v>
      </c>
      <c r="H1524" s="4" t="str">
        <f>""</f>
        <v/>
      </c>
      <c r="I1524" s="4" t="str">
        <f>""</f>
        <v/>
      </c>
    </row>
    <row r="1525" spans="1:9" x14ac:dyDescent="0.3">
      <c r="A1525" s="1" t="str">
        <f>"42"</f>
        <v>42</v>
      </c>
      <c r="B1525" s="4" t="str">
        <f>"GATTE AUTO RECYCLAGE"</f>
        <v>GATTE AUTO RECYCLAGE</v>
      </c>
      <c r="C1525" s="4">
        <v>801646803</v>
      </c>
      <c r="D1525" s="3" t="s">
        <v>0</v>
      </c>
      <c r="E1525" s="2" t="str">
        <f>"PR4200030D"</f>
        <v>PR4200030D</v>
      </c>
      <c r="F1525" s="5">
        <v>43020</v>
      </c>
      <c r="G1525" s="5">
        <v>54789</v>
      </c>
      <c r="H1525" s="4" t="str">
        <f>""</f>
        <v/>
      </c>
      <c r="I1525" s="4" t="str">
        <f>""</f>
        <v/>
      </c>
    </row>
    <row r="1526" spans="1:9" x14ac:dyDescent="0.3">
      <c r="A1526" s="1" t="str">
        <f>"42"</f>
        <v>42</v>
      </c>
      <c r="B1526" s="4" t="str">
        <f>"GATTE AUTO RECYCLAGE"</f>
        <v>GATTE AUTO RECYCLAGE</v>
      </c>
      <c r="C1526" s="4">
        <v>801646803</v>
      </c>
      <c r="D1526" s="3" t="s">
        <v>0</v>
      </c>
      <c r="E1526" s="2" t="str">
        <f>"0006113011"</f>
        <v>0006113011</v>
      </c>
      <c r="F1526" s="5">
        <v>43020</v>
      </c>
      <c r="G1526" s="5">
        <v>54789</v>
      </c>
      <c r="H1526" s="4" t="str">
        <f>""</f>
        <v/>
      </c>
      <c r="I1526" s="4" t="str">
        <f>""</f>
        <v/>
      </c>
    </row>
    <row r="1527" spans="1:9" x14ac:dyDescent="0.3">
      <c r="A1527" s="1" t="str">
        <f>"42"</f>
        <v>42</v>
      </c>
      <c r="B1527" s="4" t="str">
        <f>"RECYC'AUTO"</f>
        <v>RECYC'AUTO</v>
      </c>
      <c r="C1527" s="4">
        <v>813294063</v>
      </c>
      <c r="D1527" s="3" t="s">
        <v>0</v>
      </c>
      <c r="E1527" s="2" t="str">
        <f>"PR4200035D"</f>
        <v>PR4200035D</v>
      </c>
      <c r="F1527" s="5">
        <v>43878</v>
      </c>
      <c r="G1527" s="5">
        <v>54789</v>
      </c>
      <c r="H1527" s="4" t="str">
        <f>""</f>
        <v/>
      </c>
      <c r="I1527" s="4" t="str">
        <f>""</f>
        <v/>
      </c>
    </row>
    <row r="1528" spans="1:9" x14ac:dyDescent="0.3">
      <c r="A1528" s="1" t="str">
        <f>"42"</f>
        <v>42</v>
      </c>
      <c r="B1528" s="4" t="str">
        <f>"RECYC'AUTO"</f>
        <v>RECYC'AUTO</v>
      </c>
      <c r="C1528" s="4">
        <v>813294063</v>
      </c>
      <c r="D1528" s="3" t="s">
        <v>0</v>
      </c>
      <c r="E1528" s="2" t="str">
        <f>"0003203038"</f>
        <v>0003203038</v>
      </c>
      <c r="F1528" s="5">
        <v>43878</v>
      </c>
      <c r="G1528" s="5">
        <v>54789</v>
      </c>
      <c r="H1528" s="4" t="str">
        <f>""</f>
        <v/>
      </c>
      <c r="I1528" s="4" t="str">
        <f>""</f>
        <v/>
      </c>
    </row>
    <row r="1529" spans="1:9" x14ac:dyDescent="0.3">
      <c r="A1529" s="1" t="str">
        <f>"42"</f>
        <v>42</v>
      </c>
      <c r="B1529" s="4" t="str">
        <f>"Casse Auto CarsCity 42"</f>
        <v>Casse Auto CarsCity 42</v>
      </c>
      <c r="C1529" s="4">
        <v>879900777</v>
      </c>
      <c r="D1529" s="3" t="s">
        <v>0</v>
      </c>
      <c r="E1529" s="2" t="str">
        <f>"PR4200016D"</f>
        <v>PR4200016D</v>
      </c>
      <c r="F1529" s="5">
        <v>44249</v>
      </c>
      <c r="G1529" s="5">
        <v>54789</v>
      </c>
      <c r="H1529" s="4" t="str">
        <f>""</f>
        <v/>
      </c>
      <c r="I1529" s="4" t="str">
        <f>""</f>
        <v/>
      </c>
    </row>
    <row r="1530" spans="1:9" x14ac:dyDescent="0.3">
      <c r="A1530" s="1" t="str">
        <f>"42"</f>
        <v>42</v>
      </c>
      <c r="B1530" s="4" t="str">
        <f>"Casse Auto CarsCity 42"</f>
        <v>Casse Auto CarsCity 42</v>
      </c>
      <c r="C1530" s="4">
        <v>879900777</v>
      </c>
      <c r="D1530" s="3" t="s">
        <v>0</v>
      </c>
      <c r="E1530" s="2" t="str">
        <f>"0006105145"</f>
        <v>0006105145</v>
      </c>
      <c r="F1530" s="5">
        <v>44249</v>
      </c>
      <c r="G1530" s="5">
        <v>54789</v>
      </c>
      <c r="H1530" s="4" t="str">
        <f>""</f>
        <v/>
      </c>
      <c r="I1530" s="4" t="str">
        <f>""</f>
        <v/>
      </c>
    </row>
    <row r="1531" spans="1:9" x14ac:dyDescent="0.3">
      <c r="A1531" s="1" t="str">
        <f>"42"</f>
        <v>42</v>
      </c>
      <c r="B1531" s="4" t="str">
        <f>"Brugeron dépollution"</f>
        <v>Brugeron dépollution</v>
      </c>
      <c r="C1531" s="4">
        <v>897499927</v>
      </c>
      <c r="D1531" s="3" t="s">
        <v>0</v>
      </c>
      <c r="E1531" s="2" t="str">
        <f>"PR4200037D"</f>
        <v>PR4200037D</v>
      </c>
      <c r="F1531" s="5">
        <v>45481</v>
      </c>
      <c r="G1531" s="5">
        <v>54789</v>
      </c>
      <c r="H1531" s="4" t="str">
        <f>""</f>
        <v/>
      </c>
      <c r="I1531" s="4" t="str">
        <f>""</f>
        <v/>
      </c>
    </row>
    <row r="1532" spans="1:9" x14ac:dyDescent="0.3">
      <c r="A1532" s="1" t="str">
        <f>"42"</f>
        <v>42</v>
      </c>
      <c r="B1532" s="4" t="str">
        <f>"Brugeron dépollution"</f>
        <v>Brugeron dépollution</v>
      </c>
      <c r="C1532" s="4">
        <v>897499927</v>
      </c>
      <c r="D1532" s="3" t="s">
        <v>0</v>
      </c>
      <c r="E1532" s="2" t="str">
        <f>"0100032695"</f>
        <v>0100032695</v>
      </c>
      <c r="F1532" s="5">
        <v>45481</v>
      </c>
      <c r="G1532" s="5">
        <v>54789</v>
      </c>
      <c r="H1532" s="4" t="str">
        <f>""</f>
        <v/>
      </c>
      <c r="I1532" s="4" t="str">
        <f>""</f>
        <v/>
      </c>
    </row>
    <row r="1533" spans="1:9" x14ac:dyDescent="0.3">
      <c r="A1533" s="1" t="str">
        <f>"42"</f>
        <v>42</v>
      </c>
      <c r="B1533" s="4" t="str">
        <f>"YORUK AUTO"</f>
        <v>YORUK AUTO</v>
      </c>
      <c r="C1533" s="4">
        <v>917688715</v>
      </c>
      <c r="D1533" s="3" t="s">
        <v>0</v>
      </c>
      <c r="E1533" s="2" t="str">
        <f>"PR4200013D"</f>
        <v>PR4200013D</v>
      </c>
      <c r="F1533" s="5">
        <v>43385</v>
      </c>
      <c r="G1533" s="5">
        <v>54789</v>
      </c>
      <c r="H1533" s="4" t="str">
        <f>""</f>
        <v/>
      </c>
      <c r="I1533" s="4" t="str">
        <f>""</f>
        <v/>
      </c>
    </row>
    <row r="1534" spans="1:9" x14ac:dyDescent="0.3">
      <c r="A1534" s="1" t="str">
        <f>"42"</f>
        <v>42</v>
      </c>
      <c r="B1534" s="4" t="str">
        <f>"YORUK AUTO"</f>
        <v>YORUK AUTO</v>
      </c>
      <c r="C1534" s="4">
        <v>917688715</v>
      </c>
      <c r="D1534" s="3" t="s">
        <v>0</v>
      </c>
      <c r="E1534" s="2" t="str">
        <f>"0006105011"</f>
        <v>0006105011</v>
      </c>
      <c r="F1534" s="5">
        <v>43385</v>
      </c>
      <c r="G1534" s="5">
        <v>54789</v>
      </c>
      <c r="H1534" s="4" t="str">
        <f>""</f>
        <v/>
      </c>
      <c r="I1534" s="4" t="str">
        <f>""</f>
        <v/>
      </c>
    </row>
    <row r="1535" spans="1:9" x14ac:dyDescent="0.3">
      <c r="A1535" s="1" t="str">
        <f>"42"</f>
        <v>42</v>
      </c>
      <c r="B1535" s="4" t="str">
        <f>"S.A.S PURFER"</f>
        <v>S.A.S PURFER</v>
      </c>
      <c r="C1535" s="4">
        <v>3326281710</v>
      </c>
      <c r="D1535" s="3" t="s">
        <v>0</v>
      </c>
      <c r="E1535" s="2" t="str">
        <f>"PR4200014D"</f>
        <v>PR4200014D</v>
      </c>
      <c r="F1535" s="5">
        <v>39027</v>
      </c>
      <c r="G1535" s="5">
        <v>54789</v>
      </c>
      <c r="H1535" s="4" t="str">
        <f>""</f>
        <v/>
      </c>
      <c r="I1535" s="4" t="str">
        <f>""</f>
        <v/>
      </c>
    </row>
    <row r="1536" spans="1:9" x14ac:dyDescent="0.3">
      <c r="A1536" s="1" t="str">
        <f>"42"</f>
        <v>42</v>
      </c>
      <c r="B1536" s="4" t="str">
        <f>"S.A.S PURFER"</f>
        <v>S.A.S PURFER</v>
      </c>
      <c r="C1536" s="4">
        <v>3326281710</v>
      </c>
      <c r="D1536" s="3" t="s">
        <v>0</v>
      </c>
      <c r="E1536" s="2" t="str">
        <f>"0006103515"</f>
        <v>0006103515</v>
      </c>
      <c r="F1536" s="5">
        <v>39027</v>
      </c>
      <c r="G1536" s="5">
        <v>54789</v>
      </c>
      <c r="H1536" s="4" t="str">
        <f>""</f>
        <v/>
      </c>
      <c r="I1536" s="4" t="str">
        <f>""</f>
        <v/>
      </c>
    </row>
    <row r="1537" spans="1:9" x14ac:dyDescent="0.3">
      <c r="A1537" s="1" t="str">
        <f>"43"</f>
        <v>43</v>
      </c>
      <c r="B1537" s="4" t="str">
        <f>"RENOV¿AUTO"</f>
        <v>RENOV¿AUTO</v>
      </c>
      <c r="C1537" s="4">
        <v>327614764</v>
      </c>
      <c r="D1537" s="3" t="s">
        <v>0</v>
      </c>
      <c r="E1537" s="2" t="str">
        <f>"PR4300002D"</f>
        <v>PR4300002D</v>
      </c>
      <c r="F1537" s="5">
        <v>43234</v>
      </c>
      <c r="G1537" s="5">
        <v>54789</v>
      </c>
      <c r="H1537" s="4" t="str">
        <f>""</f>
        <v/>
      </c>
      <c r="I1537" s="4" t="str">
        <f>""</f>
        <v/>
      </c>
    </row>
    <row r="1538" spans="1:9" x14ac:dyDescent="0.3">
      <c r="A1538" s="1" t="str">
        <f>"43"</f>
        <v>43</v>
      </c>
      <c r="B1538" s="4" t="str">
        <f>"RENOV¿AUTO"</f>
        <v>RENOV¿AUTO</v>
      </c>
      <c r="C1538" s="4">
        <v>327614764</v>
      </c>
      <c r="D1538" s="3" t="s">
        <v>0</v>
      </c>
      <c r="E1538" s="2" t="str">
        <f>"0005600254"</f>
        <v>0005600254</v>
      </c>
      <c r="F1538" s="5">
        <v>43234</v>
      </c>
      <c r="G1538" s="5">
        <v>54789</v>
      </c>
      <c r="H1538" s="4" t="str">
        <f>""</f>
        <v/>
      </c>
      <c r="I1538" s="4" t="str">
        <f>""</f>
        <v/>
      </c>
    </row>
    <row r="1539" spans="1:9" x14ac:dyDescent="0.3">
      <c r="A1539" s="1" t="str">
        <f>"43"</f>
        <v>43</v>
      </c>
      <c r="B1539" s="4" t="str">
        <f>"BOUDOUSSIER Frères"</f>
        <v>BOUDOUSSIER Frères</v>
      </c>
      <c r="C1539" s="4">
        <v>380680785</v>
      </c>
      <c r="D1539" s="3" t="s">
        <v>0</v>
      </c>
      <c r="E1539" s="2" t="str">
        <f>"PR43000012D"</f>
        <v>PR43000012D</v>
      </c>
      <c r="F1539" s="5">
        <v>41830</v>
      </c>
      <c r="G1539" s="5">
        <v>54789</v>
      </c>
      <c r="H1539" s="4" t="str">
        <f>""</f>
        <v/>
      </c>
      <c r="I1539" s="4" t="str">
        <f>""</f>
        <v/>
      </c>
    </row>
    <row r="1540" spans="1:9" x14ac:dyDescent="0.3">
      <c r="A1540" s="1" t="str">
        <f>"43"</f>
        <v>43</v>
      </c>
      <c r="B1540" s="4" t="str">
        <f>"Sté de Récupération et Valorisation VACHER"</f>
        <v>Sté de Récupération et Valorisation VACHER</v>
      </c>
      <c r="C1540" s="4">
        <v>382954881</v>
      </c>
      <c r="D1540" s="3" t="s">
        <v>0</v>
      </c>
      <c r="E1540" s="2" t="str">
        <f>"PR4300014D"</f>
        <v>PR4300014D</v>
      </c>
      <c r="F1540" s="5">
        <v>43378</v>
      </c>
      <c r="G1540" s="5">
        <v>54789</v>
      </c>
      <c r="H1540" s="4" t="str">
        <f>""</f>
        <v/>
      </c>
      <c r="I1540" s="4" t="str">
        <f>""</f>
        <v/>
      </c>
    </row>
    <row r="1541" spans="1:9" x14ac:dyDescent="0.3">
      <c r="A1541" s="1" t="str">
        <f>"43"</f>
        <v>43</v>
      </c>
      <c r="B1541" s="4" t="str">
        <f>"Sté de Récupération et Valorisation VACHER"</f>
        <v>Sté de Récupération et Valorisation VACHER</v>
      </c>
      <c r="C1541" s="4">
        <v>382954881</v>
      </c>
      <c r="D1541" s="3" t="s">
        <v>0</v>
      </c>
      <c r="E1541" s="2" t="str">
        <f>"0016500040"</f>
        <v>0016500040</v>
      </c>
      <c r="F1541" s="5">
        <v>43378</v>
      </c>
      <c r="G1541" s="5">
        <v>54789</v>
      </c>
      <c r="H1541" s="4" t="str">
        <f>""</f>
        <v/>
      </c>
      <c r="I1541" s="4" t="str">
        <f>""</f>
        <v/>
      </c>
    </row>
    <row r="1542" spans="1:9" x14ac:dyDescent="0.3">
      <c r="A1542" s="1" t="str">
        <f>"43"</f>
        <v>43</v>
      </c>
      <c r="B1542" s="4" t="str">
        <f>"Sté de Récupération et Valorisation VACHER"</f>
        <v>Sté de Récupération et Valorisation VACHER</v>
      </c>
      <c r="C1542" s="4">
        <v>382954881</v>
      </c>
      <c r="D1542" s="3" t="s">
        <v>0</v>
      </c>
      <c r="E1542" s="2" t="str">
        <f>"PR4300022D"</f>
        <v>PR4300022D</v>
      </c>
      <c r="F1542" s="5">
        <v>45237</v>
      </c>
      <c r="G1542" s="5">
        <v>54789</v>
      </c>
      <c r="H1542" s="4" t="str">
        <f>""</f>
        <v/>
      </c>
      <c r="I1542" s="4" t="str">
        <f>""</f>
        <v/>
      </c>
    </row>
    <row r="1543" spans="1:9" x14ac:dyDescent="0.3">
      <c r="A1543" s="1" t="str">
        <f>"43"</f>
        <v>43</v>
      </c>
      <c r="B1543" s="4" t="str">
        <f>"Sté de Récupération et Valorisation VACHER"</f>
        <v>Sté de Récupération et Valorisation VACHER</v>
      </c>
      <c r="C1543" s="4">
        <v>382954881</v>
      </c>
      <c r="D1543" s="3" t="s">
        <v>0</v>
      </c>
      <c r="E1543" s="2" t="str">
        <f>"0005600274"</f>
        <v>0005600274</v>
      </c>
      <c r="F1543" s="5">
        <v>45237</v>
      </c>
      <c r="G1543" s="5">
        <v>54789</v>
      </c>
      <c r="H1543" s="4" t="str">
        <f>""</f>
        <v/>
      </c>
      <c r="I1543" s="4" t="str">
        <f>""</f>
        <v/>
      </c>
    </row>
    <row r="1544" spans="1:9" x14ac:dyDescent="0.3">
      <c r="A1544" s="1" t="str">
        <f>"43"</f>
        <v>43</v>
      </c>
      <c r="B1544" s="4" t="str">
        <f>"SARL C F M INDUSTRIE"</f>
        <v>SARL C F M INDUSTRIE</v>
      </c>
      <c r="C1544" s="4">
        <v>385011713</v>
      </c>
      <c r="D1544" s="3" t="s">
        <v>0</v>
      </c>
      <c r="E1544" s="2" t="str">
        <f>"PR4300021D"</f>
        <v>PR4300021D</v>
      </c>
      <c r="F1544" s="5">
        <v>44761</v>
      </c>
      <c r="G1544" s="5">
        <v>54789</v>
      </c>
      <c r="H1544" s="4" t="str">
        <f>""</f>
        <v/>
      </c>
      <c r="I1544" s="4" t="str">
        <f>""</f>
        <v/>
      </c>
    </row>
    <row r="1545" spans="1:9" x14ac:dyDescent="0.3">
      <c r="A1545" s="1" t="str">
        <f>"43"</f>
        <v>43</v>
      </c>
      <c r="B1545" s="4" t="str">
        <f>"SARL C F M INDUSTRIE"</f>
        <v>SARL C F M INDUSTRIE</v>
      </c>
      <c r="C1545" s="4">
        <v>385011713</v>
      </c>
      <c r="D1545" s="3" t="s">
        <v>0</v>
      </c>
      <c r="E1545" s="2" t="str">
        <f>"003204465"</f>
        <v>003204465</v>
      </c>
      <c r="F1545" s="5">
        <v>44761</v>
      </c>
      <c r="G1545" s="5">
        <v>54789</v>
      </c>
      <c r="H1545" s="4" t="str">
        <f>""</f>
        <v/>
      </c>
      <c r="I1545" s="4" t="str">
        <f>""</f>
        <v/>
      </c>
    </row>
    <row r="1546" spans="1:9" x14ac:dyDescent="0.3">
      <c r="A1546" s="1" t="str">
        <f>"43"</f>
        <v>43</v>
      </c>
      <c r="B1546" s="4" t="str">
        <f>"AUTO PIECES 43"</f>
        <v>AUTO PIECES 43</v>
      </c>
      <c r="C1546" s="4">
        <v>402636401</v>
      </c>
      <c r="D1546" s="3" t="s">
        <v>0</v>
      </c>
      <c r="E1546" s="2" t="str">
        <f>"PR4300004D"</f>
        <v>PR4300004D</v>
      </c>
      <c r="F1546" s="5">
        <v>43256</v>
      </c>
      <c r="G1546" s="5">
        <v>54789</v>
      </c>
      <c r="H1546" s="4" t="str">
        <f>""</f>
        <v/>
      </c>
      <c r="I1546" s="4" t="str">
        <f>""</f>
        <v/>
      </c>
    </row>
    <row r="1547" spans="1:9" x14ac:dyDescent="0.3">
      <c r="A1547" s="1" t="str">
        <f>"43"</f>
        <v>43</v>
      </c>
      <c r="B1547" s="4" t="str">
        <f>"AUTO PIECES 43"</f>
        <v>AUTO PIECES 43</v>
      </c>
      <c r="C1547" s="4">
        <v>402636401</v>
      </c>
      <c r="D1547" s="3" t="s">
        <v>0</v>
      </c>
      <c r="E1547" s="2" t="str">
        <f>"0005600187"</f>
        <v>0005600187</v>
      </c>
      <c r="F1547" s="5">
        <v>43256</v>
      </c>
      <c r="G1547" s="5">
        <v>54789</v>
      </c>
      <c r="H1547" s="4" t="str">
        <f>""</f>
        <v/>
      </c>
      <c r="I1547" s="4" t="str">
        <f>""</f>
        <v/>
      </c>
    </row>
    <row r="1548" spans="1:9" x14ac:dyDescent="0.3">
      <c r="A1548" s="1" t="str">
        <f>"43"</f>
        <v>43</v>
      </c>
      <c r="B1548" s="4" t="str">
        <f>""</f>
        <v/>
      </c>
      <c r="C1548" s="4">
        <v>407515253</v>
      </c>
      <c r="D1548" s="3" t="s">
        <v>0</v>
      </c>
      <c r="E1548" s="2" t="str">
        <f>"PR4300017D"</f>
        <v>PR4300017D</v>
      </c>
      <c r="F1548" s="5">
        <v>41940</v>
      </c>
      <c r="G1548" s="5">
        <v>54789</v>
      </c>
      <c r="H1548" s="4" t="str">
        <f>" KADA"</f>
        <v xml:space="preserve"> KADA</v>
      </c>
      <c r="I1548" s="4" t="str">
        <f>"Franck"</f>
        <v>Franck</v>
      </c>
    </row>
    <row r="1549" spans="1:9" x14ac:dyDescent="0.3">
      <c r="A1549" s="1" t="str">
        <f>"43"</f>
        <v>43</v>
      </c>
      <c r="B1549" s="4" t="str">
        <f>"COUTEUGES RECUP¿AUTO"</f>
        <v>COUTEUGES RECUP¿AUTO</v>
      </c>
      <c r="C1549" s="4">
        <v>408051555</v>
      </c>
      <c r="D1549" s="3" t="s">
        <v>0</v>
      </c>
      <c r="E1549" s="2" t="str">
        <f>"PR4300003D"</f>
        <v>PR4300003D</v>
      </c>
      <c r="F1549" s="5">
        <v>43294</v>
      </c>
      <c r="G1549" s="5">
        <v>54789</v>
      </c>
      <c r="H1549" s="4" t="str">
        <f>""</f>
        <v/>
      </c>
      <c r="I1549" s="4" t="str">
        <f>""</f>
        <v/>
      </c>
    </row>
    <row r="1550" spans="1:9" x14ac:dyDescent="0.3">
      <c r="A1550" s="1" t="str">
        <f>"43"</f>
        <v>43</v>
      </c>
      <c r="B1550" s="4" t="str">
        <f>"COUTEUGES RECUP¿AUTO"</f>
        <v>COUTEUGES RECUP¿AUTO</v>
      </c>
      <c r="C1550" s="4">
        <v>408051555</v>
      </c>
      <c r="D1550" s="3" t="s">
        <v>0</v>
      </c>
      <c r="E1550" s="2" t="str">
        <f>"0005600202"</f>
        <v>0005600202</v>
      </c>
      <c r="F1550" s="5">
        <v>43294</v>
      </c>
      <c r="G1550" s="5">
        <v>54789</v>
      </c>
      <c r="H1550" s="4" t="str">
        <f>""</f>
        <v/>
      </c>
      <c r="I1550" s="4" t="str">
        <f>""</f>
        <v/>
      </c>
    </row>
    <row r="1551" spans="1:9" x14ac:dyDescent="0.3">
      <c r="A1551" s="1" t="str">
        <f>"43"</f>
        <v>43</v>
      </c>
      <c r="B1551" s="4" t="str">
        <f>"SARL AUTUSSE &amp; Fils"</f>
        <v>SARL AUTUSSE &amp; Fils</v>
      </c>
      <c r="C1551" s="4">
        <v>408505758</v>
      </c>
      <c r="D1551" s="3" t="s">
        <v>0</v>
      </c>
      <c r="E1551" s="2" t="str">
        <f>"PR4300005D"</f>
        <v>PR4300005D</v>
      </c>
      <c r="F1551" s="5">
        <v>43313</v>
      </c>
      <c r="G1551" s="5">
        <v>54789</v>
      </c>
      <c r="H1551" s="4" t="str">
        <f>""</f>
        <v/>
      </c>
      <c r="I1551" s="4" t="str">
        <f>""</f>
        <v/>
      </c>
    </row>
    <row r="1552" spans="1:9" x14ac:dyDescent="0.3">
      <c r="A1552" s="1" t="str">
        <f>"43"</f>
        <v>43</v>
      </c>
      <c r="B1552" s="4" t="str">
        <f>"SARL AUTUSSE &amp; Fils"</f>
        <v>SARL AUTUSSE &amp; Fils</v>
      </c>
      <c r="C1552" s="4">
        <v>408505758</v>
      </c>
      <c r="D1552" s="3" t="s">
        <v>0</v>
      </c>
      <c r="E1552" s="2" t="str">
        <f>"0016500034"</f>
        <v>0016500034</v>
      </c>
      <c r="F1552" s="5">
        <v>43313</v>
      </c>
      <c r="G1552" s="5">
        <v>54789</v>
      </c>
      <c r="H1552" s="4" t="str">
        <f>""</f>
        <v/>
      </c>
      <c r="I1552" s="4" t="str">
        <f>""</f>
        <v/>
      </c>
    </row>
    <row r="1553" spans="1:9" x14ac:dyDescent="0.3">
      <c r="A1553" s="1" t="str">
        <f>"43"</f>
        <v>43</v>
      </c>
      <c r="B1553" s="4" t="str">
        <f>"SARL DELCOS"</f>
        <v>SARL DELCOS</v>
      </c>
      <c r="C1553" s="4">
        <v>433380029</v>
      </c>
      <c r="D1553" s="3" t="s">
        <v>0</v>
      </c>
      <c r="E1553" s="2" t="str">
        <f>"PR4300008D"</f>
        <v>PR4300008D</v>
      </c>
      <c r="F1553" s="5">
        <v>43621</v>
      </c>
      <c r="G1553" s="5">
        <v>54789</v>
      </c>
      <c r="H1553" s="4" t="str">
        <f>""</f>
        <v/>
      </c>
      <c r="I1553" s="4" t="str">
        <f>""</f>
        <v/>
      </c>
    </row>
    <row r="1554" spans="1:9" x14ac:dyDescent="0.3">
      <c r="A1554" s="1" t="str">
        <f>"43"</f>
        <v>43</v>
      </c>
      <c r="B1554" s="4" t="str">
        <f>"SARL DELCOS"</f>
        <v>SARL DELCOS</v>
      </c>
      <c r="C1554" s="4">
        <v>433380029</v>
      </c>
      <c r="D1554" s="3" t="s">
        <v>0</v>
      </c>
      <c r="E1554" s="2" t="str">
        <f>"0016500016"</f>
        <v>0016500016</v>
      </c>
      <c r="F1554" s="5">
        <v>43621</v>
      </c>
      <c r="G1554" s="5">
        <v>54789</v>
      </c>
      <c r="H1554" s="4" t="str">
        <f>""</f>
        <v/>
      </c>
      <c r="I1554" s="4" t="str">
        <f>""</f>
        <v/>
      </c>
    </row>
    <row r="1555" spans="1:9" x14ac:dyDescent="0.3">
      <c r="A1555" s="1" t="str">
        <f>"43"</f>
        <v>43</v>
      </c>
      <c r="B1555" s="4" t="str">
        <f>"PRAXY CENTRE"</f>
        <v>PRAXY CENTRE</v>
      </c>
      <c r="C1555" s="4">
        <v>518205976</v>
      </c>
      <c r="D1555" s="3" t="s">
        <v>0</v>
      </c>
      <c r="E1555" s="2" t="str">
        <f>"PR4300023D"</f>
        <v>PR4300023D</v>
      </c>
      <c r="F1555" s="5">
        <v>45552</v>
      </c>
      <c r="G1555" s="5">
        <v>54789</v>
      </c>
      <c r="H1555" s="4" t="str">
        <f>""</f>
        <v/>
      </c>
      <c r="I1555" s="4" t="str">
        <f>""</f>
        <v/>
      </c>
    </row>
    <row r="1556" spans="1:9" x14ac:dyDescent="0.3">
      <c r="A1556" s="1" t="str">
        <f>"43"</f>
        <v>43</v>
      </c>
      <c r="B1556" s="4" t="str">
        <f>"PRAXY CENTRE"</f>
        <v>PRAXY CENTRE</v>
      </c>
      <c r="C1556" s="4">
        <v>518205976</v>
      </c>
      <c r="D1556" s="3" t="s">
        <v>0</v>
      </c>
      <c r="E1556" s="2" t="str">
        <f>"0005600271"</f>
        <v>0005600271</v>
      </c>
      <c r="F1556" s="5">
        <v>45552</v>
      </c>
      <c r="G1556" s="5">
        <v>54789</v>
      </c>
      <c r="H1556" s="4" t="str">
        <f>""</f>
        <v/>
      </c>
      <c r="I1556" s="4" t="str">
        <f>""</f>
        <v/>
      </c>
    </row>
    <row r="1557" spans="1:9" x14ac:dyDescent="0.3">
      <c r="A1557" s="1" t="str">
        <f>"43"</f>
        <v>43</v>
      </c>
      <c r="B1557" s="4" t="str">
        <f>"Sté M J Valorisation"</f>
        <v>Sté M J Valorisation</v>
      </c>
      <c r="C1557" s="4">
        <v>791957681</v>
      </c>
      <c r="D1557" s="3" t="s">
        <v>0</v>
      </c>
      <c r="E1557" s="2" t="str">
        <f>"PR4300015D"</f>
        <v>PR4300015D</v>
      </c>
      <c r="F1557" s="5">
        <v>43649</v>
      </c>
      <c r="G1557" s="5">
        <v>54789</v>
      </c>
      <c r="H1557" s="4" t="str">
        <f>""</f>
        <v/>
      </c>
      <c r="I1557" s="4" t="str">
        <f>""</f>
        <v/>
      </c>
    </row>
    <row r="1558" spans="1:9" x14ac:dyDescent="0.3">
      <c r="A1558" s="1" t="str">
        <f>"43"</f>
        <v>43</v>
      </c>
      <c r="B1558" s="4" t="str">
        <f>"Sté M J Valorisation"</f>
        <v>Sté M J Valorisation</v>
      </c>
      <c r="C1558" s="4">
        <v>791957681</v>
      </c>
      <c r="D1558" s="3" t="s">
        <v>0</v>
      </c>
      <c r="E1558" s="2" t="str">
        <f>"0005602618"</f>
        <v>0005602618</v>
      </c>
      <c r="F1558" s="5">
        <v>43649</v>
      </c>
      <c r="G1558" s="5">
        <v>54789</v>
      </c>
      <c r="H1558" s="4" t="str">
        <f>""</f>
        <v/>
      </c>
      <c r="I1558" s="4" t="str">
        <f>""</f>
        <v/>
      </c>
    </row>
    <row r="1559" spans="1:9" x14ac:dyDescent="0.3">
      <c r="A1559" s="1" t="str">
        <f>"44"</f>
        <v>44</v>
      </c>
      <c r="B1559" s="4" t="str">
        <f>"BRANGEON RECYCLAGE"</f>
        <v>BRANGEON RECYCLAGE</v>
      </c>
      <c r="C1559" s="4">
        <v>62200753</v>
      </c>
      <c r="D1559" s="3" t="s">
        <v>0</v>
      </c>
      <c r="E1559" s="2" t="str">
        <f>"PR4400029D"</f>
        <v>PR4400029D</v>
      </c>
      <c r="F1559" s="5">
        <v>42341</v>
      </c>
      <c r="G1559" s="5">
        <v>54789</v>
      </c>
      <c r="H1559" s="4" t="str">
        <f>""</f>
        <v/>
      </c>
      <c r="I1559" s="4" t="str">
        <f>""</f>
        <v/>
      </c>
    </row>
    <row r="1560" spans="1:9" x14ac:dyDescent="0.3">
      <c r="A1560" s="1" t="str">
        <f>"44"</f>
        <v>44</v>
      </c>
      <c r="B1560" s="4" t="str">
        <f>"BRANGEON RECYCLAGE"</f>
        <v>BRANGEON RECYCLAGE</v>
      </c>
      <c r="C1560" s="4">
        <v>62200753</v>
      </c>
      <c r="D1560" s="3" t="s">
        <v>0</v>
      </c>
      <c r="E1560" s="2" t="str">
        <f>"0006305402"</f>
        <v>0006305402</v>
      </c>
      <c r="F1560" s="5">
        <v>42341</v>
      </c>
      <c r="G1560" s="5">
        <v>54789</v>
      </c>
      <c r="H1560" s="4" t="str">
        <f>""</f>
        <v/>
      </c>
      <c r="I1560" s="4" t="str">
        <f>""</f>
        <v/>
      </c>
    </row>
    <row r="1561" spans="1:9" x14ac:dyDescent="0.3">
      <c r="A1561" s="1" t="str">
        <f>"44"</f>
        <v>44</v>
      </c>
      <c r="B1561" s="4" t="str">
        <f>"BRANGEON RECYCLAGE"</f>
        <v>BRANGEON RECYCLAGE</v>
      </c>
      <c r="C1561" s="4">
        <v>62200753</v>
      </c>
      <c r="D1561" s="3" t="s">
        <v>0</v>
      </c>
      <c r="E1561" s="2" t="str">
        <f>"PR4400015D"</f>
        <v>PR4400015D</v>
      </c>
      <c r="F1561" s="5">
        <v>43798</v>
      </c>
      <c r="G1561" s="5">
        <v>54789</v>
      </c>
      <c r="H1561" s="4" t="str">
        <f>""</f>
        <v/>
      </c>
      <c r="I1561" s="4" t="str">
        <f>""</f>
        <v/>
      </c>
    </row>
    <row r="1562" spans="1:9" x14ac:dyDescent="0.3">
      <c r="A1562" s="1" t="str">
        <f>"44"</f>
        <v>44</v>
      </c>
      <c r="B1562" s="4" t="str">
        <f>"BRANGEON RECYCLAGE"</f>
        <v>BRANGEON RECYCLAGE</v>
      </c>
      <c r="C1562" s="4">
        <v>62200753</v>
      </c>
      <c r="D1562" s="3" t="s">
        <v>0</v>
      </c>
      <c r="E1562" s="2" t="str">
        <f>"0006302542"</f>
        <v>0006302542</v>
      </c>
      <c r="F1562" s="5">
        <v>43798</v>
      </c>
      <c r="G1562" s="5">
        <v>54789</v>
      </c>
      <c r="H1562" s="4" t="str">
        <f>""</f>
        <v/>
      </c>
      <c r="I1562" s="4" t="str">
        <f>""</f>
        <v/>
      </c>
    </row>
    <row r="1563" spans="1:9" x14ac:dyDescent="0.3">
      <c r="A1563" s="1" t="str">
        <f>"44"</f>
        <v>44</v>
      </c>
      <c r="B1563" s="4" t="str">
        <f>"ROMI"</f>
        <v>ROMI</v>
      </c>
      <c r="C1563" s="4">
        <v>300092889</v>
      </c>
      <c r="D1563" s="3" t="s">
        <v>0</v>
      </c>
      <c r="E1563" s="2" t="str">
        <f>"PR4400039D"</f>
        <v>PR4400039D</v>
      </c>
      <c r="F1563" s="5">
        <v>44218</v>
      </c>
      <c r="G1563" s="5">
        <v>54789</v>
      </c>
      <c r="H1563" s="4" t="str">
        <f>""</f>
        <v/>
      </c>
      <c r="I1563" s="4" t="str">
        <f>""</f>
        <v/>
      </c>
    </row>
    <row r="1564" spans="1:9" x14ac:dyDescent="0.3">
      <c r="A1564" s="1" t="str">
        <f>"44"</f>
        <v>44</v>
      </c>
      <c r="B1564" s="4" t="str">
        <f>"ROMI"</f>
        <v>ROMI</v>
      </c>
      <c r="C1564" s="4">
        <v>300092889</v>
      </c>
      <c r="D1564" s="3" t="s">
        <v>0</v>
      </c>
      <c r="E1564" s="2" t="str">
        <f>"0006310309"</f>
        <v>0006310309</v>
      </c>
      <c r="F1564" s="5">
        <v>44218</v>
      </c>
      <c r="G1564" s="5">
        <v>54789</v>
      </c>
      <c r="H1564" s="4" t="str">
        <f>""</f>
        <v/>
      </c>
      <c r="I1564" s="4" t="str">
        <f>""</f>
        <v/>
      </c>
    </row>
    <row r="1565" spans="1:9" x14ac:dyDescent="0.3">
      <c r="A1565" s="1" t="str">
        <f>"44"</f>
        <v>44</v>
      </c>
      <c r="B1565" s="4" t="str">
        <f>"ROMI"</f>
        <v>ROMI</v>
      </c>
      <c r="C1565" s="4">
        <v>300092889</v>
      </c>
      <c r="D1565" s="3" t="s">
        <v>0</v>
      </c>
      <c r="E1565" s="2" t="str">
        <f>"PR4400035D"</f>
        <v>PR4400035D</v>
      </c>
      <c r="F1565" s="5">
        <v>42394</v>
      </c>
      <c r="G1565" s="5">
        <v>54789</v>
      </c>
      <c r="H1565" s="4" t="str">
        <f>""</f>
        <v/>
      </c>
      <c r="I1565" s="4" t="str">
        <f>""</f>
        <v/>
      </c>
    </row>
    <row r="1566" spans="1:9" x14ac:dyDescent="0.3">
      <c r="A1566" s="1" t="str">
        <f>"44"</f>
        <v>44</v>
      </c>
      <c r="B1566" s="4" t="str">
        <f>"ROMI"</f>
        <v>ROMI</v>
      </c>
      <c r="C1566" s="4">
        <v>300092889</v>
      </c>
      <c r="D1566" s="3" t="s">
        <v>0</v>
      </c>
      <c r="E1566" s="2" t="str">
        <f>"0006307471"</f>
        <v>0006307471</v>
      </c>
      <c r="F1566" s="5">
        <v>42394</v>
      </c>
      <c r="G1566" s="5">
        <v>54789</v>
      </c>
      <c r="H1566" s="4" t="str">
        <f>""</f>
        <v/>
      </c>
      <c r="I1566" s="4" t="str">
        <f>""</f>
        <v/>
      </c>
    </row>
    <row r="1567" spans="1:9" x14ac:dyDescent="0.3">
      <c r="A1567" s="1" t="str">
        <f>"44"</f>
        <v>44</v>
      </c>
      <c r="B1567" s="4" t="str">
        <f>"COLIN POULARD"</f>
        <v>COLIN POULARD</v>
      </c>
      <c r="C1567" s="4">
        <v>319117594</v>
      </c>
      <c r="D1567" s="3" t="s">
        <v>0</v>
      </c>
      <c r="E1567" s="2" t="str">
        <f>"PR4400007D"</f>
        <v>PR4400007D</v>
      </c>
      <c r="F1567" s="5">
        <v>43783</v>
      </c>
      <c r="G1567" s="5">
        <v>54789</v>
      </c>
      <c r="H1567" s="4" t="str">
        <f>""</f>
        <v/>
      </c>
      <c r="I1567" s="4" t="str">
        <f>""</f>
        <v/>
      </c>
    </row>
    <row r="1568" spans="1:9" x14ac:dyDescent="0.3">
      <c r="A1568" s="1" t="str">
        <f>"44"</f>
        <v>44</v>
      </c>
      <c r="B1568" s="4" t="str">
        <f>"COLIN POULARD"</f>
        <v>COLIN POULARD</v>
      </c>
      <c r="C1568" s="4">
        <v>319117594</v>
      </c>
      <c r="D1568" s="3" t="s">
        <v>0</v>
      </c>
      <c r="E1568" s="2" t="str">
        <f>"0006303098"</f>
        <v>0006303098</v>
      </c>
      <c r="F1568" s="5">
        <v>43783</v>
      </c>
      <c r="G1568" s="5">
        <v>54789</v>
      </c>
      <c r="H1568" s="4" t="str">
        <f>""</f>
        <v/>
      </c>
      <c r="I1568" s="4" t="str">
        <f>""</f>
        <v/>
      </c>
    </row>
    <row r="1569" spans="1:9" x14ac:dyDescent="0.3">
      <c r="A1569" s="1" t="str">
        <f>"44"</f>
        <v>44</v>
      </c>
      <c r="B1569" s="4" t="str">
        <f>"MANO"</f>
        <v>MANO</v>
      </c>
      <c r="C1569" s="4">
        <v>325240786</v>
      </c>
      <c r="D1569" s="3" t="s">
        <v>0</v>
      </c>
      <c r="E1569" s="2" t="str">
        <f>"PR4400012D"</f>
        <v>PR4400012D</v>
      </c>
      <c r="F1569" s="5">
        <v>43468</v>
      </c>
      <c r="G1569" s="5">
        <v>54789</v>
      </c>
      <c r="H1569" s="4" t="str">
        <f>""</f>
        <v/>
      </c>
      <c r="I1569" s="4" t="str">
        <f>""</f>
        <v/>
      </c>
    </row>
    <row r="1570" spans="1:9" x14ac:dyDescent="0.3">
      <c r="A1570" s="1" t="str">
        <f>"44"</f>
        <v>44</v>
      </c>
      <c r="B1570" s="4" t="str">
        <f>"MANO"</f>
        <v>MANO</v>
      </c>
      <c r="C1570" s="4">
        <v>325240786</v>
      </c>
      <c r="D1570" s="3" t="s">
        <v>0</v>
      </c>
      <c r="E1570" s="2" t="str">
        <f>"0006302541"</f>
        <v>0006302541</v>
      </c>
      <c r="F1570" s="5">
        <v>43468</v>
      </c>
      <c r="G1570" s="5">
        <v>54789</v>
      </c>
      <c r="H1570" s="4" t="str">
        <f>""</f>
        <v/>
      </c>
      <c r="I1570" s="4" t="str">
        <f>""</f>
        <v/>
      </c>
    </row>
    <row r="1571" spans="1:9" x14ac:dyDescent="0.3">
      <c r="A1571" s="1" t="str">
        <f>"44"</f>
        <v>44</v>
      </c>
      <c r="B1571" s="4" t="str">
        <f>"RECUP'44"</f>
        <v>RECUP'44</v>
      </c>
      <c r="C1571" s="4">
        <v>332335322</v>
      </c>
      <c r="D1571" s="3" t="s">
        <v>0</v>
      </c>
      <c r="E1571" s="2" t="str">
        <f>"PR4400009D"</f>
        <v>PR4400009D</v>
      </c>
      <c r="F1571" s="5">
        <v>43385</v>
      </c>
      <c r="G1571" s="5">
        <v>54789</v>
      </c>
      <c r="H1571" s="4" t="str">
        <f>""</f>
        <v/>
      </c>
      <c r="I1571" s="4" t="str">
        <f>""</f>
        <v/>
      </c>
    </row>
    <row r="1572" spans="1:9" x14ac:dyDescent="0.3">
      <c r="A1572" s="1" t="str">
        <f>"44"</f>
        <v>44</v>
      </c>
      <c r="B1572" s="4" t="str">
        <f>"RECUP'44"</f>
        <v>RECUP'44</v>
      </c>
      <c r="C1572" s="4">
        <v>332335322</v>
      </c>
      <c r="D1572" s="3" t="s">
        <v>0</v>
      </c>
      <c r="E1572" s="2" t="str">
        <f>"0006302637"</f>
        <v>0006302637</v>
      </c>
      <c r="F1572" s="5">
        <v>43385</v>
      </c>
      <c r="G1572" s="5">
        <v>54789</v>
      </c>
      <c r="H1572" s="4" t="str">
        <f>""</f>
        <v/>
      </c>
      <c r="I1572" s="4" t="str">
        <f>""</f>
        <v/>
      </c>
    </row>
    <row r="1573" spans="1:9" x14ac:dyDescent="0.3">
      <c r="A1573" s="1" t="str">
        <f>"44"</f>
        <v>44</v>
      </c>
      <c r="B1573" s="4" t="str">
        <f>"DAC GRELLIER"</f>
        <v>DAC GRELLIER</v>
      </c>
      <c r="C1573" s="4">
        <v>332809250</v>
      </c>
      <c r="D1573" s="3" t="s">
        <v>0</v>
      </c>
      <c r="E1573" s="2" t="str">
        <f>"PR4400026D"</f>
        <v>PR4400026D</v>
      </c>
      <c r="F1573" s="5">
        <v>44245</v>
      </c>
      <c r="G1573" s="5">
        <v>54789</v>
      </c>
      <c r="H1573" s="4" t="str">
        <f>""</f>
        <v/>
      </c>
      <c r="I1573" s="4" t="str">
        <f>""</f>
        <v/>
      </c>
    </row>
    <row r="1574" spans="1:9" x14ac:dyDescent="0.3">
      <c r="A1574" s="1" t="str">
        <f>"44"</f>
        <v>44</v>
      </c>
      <c r="B1574" s="4" t="str">
        <f>"DAC GRELLIER"</f>
        <v>DAC GRELLIER</v>
      </c>
      <c r="C1574" s="4">
        <v>332809250</v>
      </c>
      <c r="D1574" s="3" t="s">
        <v>0</v>
      </c>
      <c r="E1574" s="2" t="str">
        <f>"0006305019"</f>
        <v>0006305019</v>
      </c>
      <c r="F1574" s="5">
        <v>44245</v>
      </c>
      <c r="G1574" s="5">
        <v>54789</v>
      </c>
      <c r="H1574" s="4" t="str">
        <f>""</f>
        <v/>
      </c>
      <c r="I1574" s="4" t="str">
        <f>""</f>
        <v/>
      </c>
    </row>
    <row r="1575" spans="1:9" x14ac:dyDescent="0.3">
      <c r="A1575" s="1" t="str">
        <f>"44"</f>
        <v>44</v>
      </c>
      <c r="B1575" s="4" t="str">
        <f>"COQUEN Eric"</f>
        <v>COQUEN Eric</v>
      </c>
      <c r="C1575" s="4">
        <v>350426532</v>
      </c>
      <c r="D1575" s="3" t="s">
        <v>0</v>
      </c>
      <c r="E1575" s="2" t="str">
        <f>"PR4400016D"</f>
        <v>PR4400016D</v>
      </c>
      <c r="F1575" s="5">
        <v>42296</v>
      </c>
      <c r="G1575" s="5">
        <v>54789</v>
      </c>
      <c r="H1575" s="4" t="str">
        <f>"COQUEN"</f>
        <v>COQUEN</v>
      </c>
      <c r="I1575" s="4" t="str">
        <f>"Eric"</f>
        <v>Eric</v>
      </c>
    </row>
    <row r="1576" spans="1:9" x14ac:dyDescent="0.3">
      <c r="A1576" s="1" t="str">
        <f>"44"</f>
        <v>44</v>
      </c>
      <c r="B1576" s="4" t="str">
        <f>"COQUEN Eric"</f>
        <v>COQUEN Eric</v>
      </c>
      <c r="C1576" s="4">
        <v>350426532</v>
      </c>
      <c r="D1576" s="3" t="s">
        <v>0</v>
      </c>
      <c r="E1576" s="2" t="str">
        <f>"0006302654"</f>
        <v>0006302654</v>
      </c>
      <c r="F1576" s="5">
        <v>42296</v>
      </c>
      <c r="G1576" s="5">
        <v>54789</v>
      </c>
      <c r="H1576" s="4" t="str">
        <f>""</f>
        <v/>
      </c>
      <c r="I1576" s="4" t="str">
        <f>""</f>
        <v/>
      </c>
    </row>
    <row r="1577" spans="1:9" x14ac:dyDescent="0.3">
      <c r="A1577" s="1" t="str">
        <f>"44"</f>
        <v>44</v>
      </c>
      <c r="B1577" s="4" t="str">
        <f>"DART (DEMOLITION AUTOMOBILE RECUPERATION THOUAREENNE)"</f>
        <v>DART (DEMOLITION AUTOMOBILE RECUPERATION THOUAREENNE)</v>
      </c>
      <c r="C1577" s="4">
        <v>353862477</v>
      </c>
      <c r="D1577" s="3" t="s">
        <v>0</v>
      </c>
      <c r="E1577" s="2" t="str">
        <f>"PR4400014D"</f>
        <v>PR4400014D</v>
      </c>
      <c r="F1577" s="5">
        <v>43494</v>
      </c>
      <c r="G1577" s="5">
        <v>54789</v>
      </c>
      <c r="H1577" s="4" t="str">
        <f>""</f>
        <v/>
      </c>
      <c r="I1577" s="4" t="str">
        <f>""</f>
        <v/>
      </c>
    </row>
    <row r="1578" spans="1:9" x14ac:dyDescent="0.3">
      <c r="A1578" s="1" t="str">
        <f>"44"</f>
        <v>44</v>
      </c>
      <c r="B1578" s="4" t="str">
        <f>"DART (DEMOLITION AUTOMOBILE RECUPERATION THOUAREENNE)"</f>
        <v>DART (DEMOLITION AUTOMOBILE RECUPERATION THOUAREENNE)</v>
      </c>
      <c r="C1578" s="4">
        <v>353862477</v>
      </c>
      <c r="D1578" s="3" t="s">
        <v>0</v>
      </c>
      <c r="E1578" s="2" t="str">
        <f>"0006303094"</f>
        <v>0006303094</v>
      </c>
      <c r="F1578" s="5">
        <v>43494</v>
      </c>
      <c r="G1578" s="5">
        <v>54789</v>
      </c>
      <c r="H1578" s="4" t="str">
        <f>""</f>
        <v/>
      </c>
      <c r="I1578" s="4" t="str">
        <f>""</f>
        <v/>
      </c>
    </row>
    <row r="1579" spans="1:9" x14ac:dyDescent="0.3">
      <c r="A1579" s="1" t="str">
        <f>"44"</f>
        <v>44</v>
      </c>
      <c r="B1579" s="4" t="str">
        <f>"AFM RECYCLAGE"</f>
        <v>AFM RECYCLAGE</v>
      </c>
      <c r="C1579" s="4">
        <v>383482635</v>
      </c>
      <c r="D1579" s="3" t="s">
        <v>0</v>
      </c>
      <c r="E1579" s="2" t="str">
        <f>"PR4400008D"</f>
        <v>PR4400008D</v>
      </c>
      <c r="F1579" s="5">
        <v>43383</v>
      </c>
      <c r="G1579" s="5">
        <v>54789</v>
      </c>
      <c r="H1579" s="4" t="str">
        <f>""</f>
        <v/>
      </c>
      <c r="I1579" s="4" t="str">
        <f>""</f>
        <v/>
      </c>
    </row>
    <row r="1580" spans="1:9" x14ac:dyDescent="0.3">
      <c r="A1580" s="1" t="str">
        <f>"44"</f>
        <v>44</v>
      </c>
      <c r="B1580" s="4" t="str">
        <f>"AFM RECYCLAGE"</f>
        <v>AFM RECYCLAGE</v>
      </c>
      <c r="C1580" s="4">
        <v>383482635</v>
      </c>
      <c r="D1580" s="3" t="s">
        <v>0</v>
      </c>
      <c r="E1580" s="2" t="str">
        <f>"0006302314"</f>
        <v>0006302314</v>
      </c>
      <c r="F1580" s="5">
        <v>43383</v>
      </c>
      <c r="G1580" s="5">
        <v>54789</v>
      </c>
      <c r="H1580" s="4" t="str">
        <f>""</f>
        <v/>
      </c>
      <c r="I1580" s="4" t="str">
        <f>""</f>
        <v/>
      </c>
    </row>
    <row r="1581" spans="1:9" x14ac:dyDescent="0.3">
      <c r="A1581" s="1" t="str">
        <f>"44"</f>
        <v>44</v>
      </c>
      <c r="B1581" s="4" t="str">
        <f>"AFM RECYCLAGE"</f>
        <v>AFM RECYCLAGE</v>
      </c>
      <c r="C1581" s="4">
        <v>383482635</v>
      </c>
      <c r="D1581" s="3" t="s">
        <v>0</v>
      </c>
      <c r="E1581" s="2" t="str">
        <f>"PR4400019D"</f>
        <v>PR4400019D</v>
      </c>
      <c r="F1581" s="5">
        <v>43244</v>
      </c>
      <c r="G1581" s="5">
        <v>54789</v>
      </c>
      <c r="H1581" s="4" t="str">
        <f>""</f>
        <v/>
      </c>
      <c r="I1581" s="4" t="str">
        <f>""</f>
        <v/>
      </c>
    </row>
    <row r="1582" spans="1:9" x14ac:dyDescent="0.3">
      <c r="A1582" s="1" t="str">
        <f>"44"</f>
        <v>44</v>
      </c>
      <c r="B1582" s="4" t="str">
        <f>"AFM RECYCLAGE"</f>
        <v>AFM RECYCLAGE</v>
      </c>
      <c r="C1582" s="4">
        <v>383482635</v>
      </c>
      <c r="D1582" s="3" t="s">
        <v>0</v>
      </c>
      <c r="E1582" s="2" t="str">
        <f>"0006303045"</f>
        <v>0006303045</v>
      </c>
      <c r="F1582" s="5">
        <v>43244</v>
      </c>
      <c r="G1582" s="5">
        <v>54789</v>
      </c>
      <c r="H1582" s="4" t="str">
        <f>""</f>
        <v/>
      </c>
      <c r="I1582" s="4" t="str">
        <f>""</f>
        <v/>
      </c>
    </row>
    <row r="1583" spans="1:9" x14ac:dyDescent="0.3">
      <c r="A1583" s="1" t="str">
        <f>"44"</f>
        <v>44</v>
      </c>
      <c r="B1583" s="4" t="str">
        <f>"AFM RECYCLAGE"</f>
        <v>AFM RECYCLAGE</v>
      </c>
      <c r="C1583" s="4">
        <v>383482635</v>
      </c>
      <c r="D1583" s="3" t="s">
        <v>0</v>
      </c>
      <c r="E1583" s="2" t="str">
        <f>"PR4400036D"</f>
        <v>PR4400036D</v>
      </c>
      <c r="F1583" s="5">
        <v>44944</v>
      </c>
      <c r="G1583" s="5">
        <v>54789</v>
      </c>
      <c r="H1583" s="4" t="str">
        <f>""</f>
        <v/>
      </c>
      <c r="I1583" s="4" t="str">
        <f>""</f>
        <v/>
      </c>
    </row>
    <row r="1584" spans="1:9" x14ac:dyDescent="0.3">
      <c r="A1584" s="1" t="str">
        <f>"44"</f>
        <v>44</v>
      </c>
      <c r="B1584" s="4" t="str">
        <f>"AFM RECYCLAGE"</f>
        <v>AFM RECYCLAGE</v>
      </c>
      <c r="C1584" s="4">
        <v>383482635</v>
      </c>
      <c r="D1584" s="3" t="s">
        <v>0</v>
      </c>
      <c r="E1584" s="2" t="str">
        <f>"0006303372"</f>
        <v>0006303372</v>
      </c>
      <c r="F1584" s="5">
        <v>44944</v>
      </c>
      <c r="G1584" s="5">
        <v>54789</v>
      </c>
      <c r="H1584" s="4" t="str">
        <f>""</f>
        <v/>
      </c>
      <c r="I1584" s="4" t="str">
        <f>""</f>
        <v/>
      </c>
    </row>
    <row r="1585" spans="1:9" x14ac:dyDescent="0.3">
      <c r="A1585" s="1" t="str">
        <f>"44"</f>
        <v>44</v>
      </c>
      <c r="B1585" s="4" t="str">
        <f>"AFM RECYCLAGE"</f>
        <v>AFM RECYCLAGE</v>
      </c>
      <c r="C1585" s="4">
        <v>383482635</v>
      </c>
      <c r="D1585" s="3" t="s">
        <v>0</v>
      </c>
      <c r="E1585" s="2" t="str">
        <f>"PR4400006D"</f>
        <v>PR4400006D</v>
      </c>
      <c r="F1585" s="5">
        <v>44939</v>
      </c>
      <c r="G1585" s="5">
        <v>54789</v>
      </c>
      <c r="H1585" s="4" t="str">
        <f>""</f>
        <v/>
      </c>
      <c r="I1585" s="4" t="str">
        <f>""</f>
        <v/>
      </c>
    </row>
    <row r="1586" spans="1:9" x14ac:dyDescent="0.3">
      <c r="A1586" s="1" t="str">
        <f>"44"</f>
        <v>44</v>
      </c>
      <c r="B1586" s="4" t="str">
        <f>"AFM RECYCLAGE"</f>
        <v>AFM RECYCLAGE</v>
      </c>
      <c r="C1586" s="4">
        <v>383482635</v>
      </c>
      <c r="D1586" s="3" t="s">
        <v>0</v>
      </c>
      <c r="E1586" s="2" t="str">
        <f>"PR4400006B"</f>
        <v>PR4400006B</v>
      </c>
      <c r="F1586" s="5">
        <v>44939</v>
      </c>
      <c r="G1586" s="5">
        <v>54789</v>
      </c>
      <c r="H1586" s="4" t="str">
        <f>""</f>
        <v/>
      </c>
      <c r="I1586" s="4" t="str">
        <f>""</f>
        <v/>
      </c>
    </row>
    <row r="1587" spans="1:9" x14ac:dyDescent="0.3">
      <c r="A1587" s="1" t="str">
        <f>"44"</f>
        <v>44</v>
      </c>
      <c r="B1587" s="4" t="str">
        <f>"AFM RECYCLAGE"</f>
        <v>AFM RECYCLAGE</v>
      </c>
      <c r="C1587" s="4">
        <v>383482635</v>
      </c>
      <c r="D1587" s="3" t="s">
        <v>0</v>
      </c>
      <c r="E1587" s="2" t="str">
        <f>"0006302760"</f>
        <v>0006302760</v>
      </c>
      <c r="F1587" s="5">
        <v>44939</v>
      </c>
      <c r="G1587" s="5">
        <v>54789</v>
      </c>
      <c r="H1587" s="4" t="str">
        <f>""</f>
        <v/>
      </c>
      <c r="I1587" s="4" t="str">
        <f>""</f>
        <v/>
      </c>
    </row>
    <row r="1588" spans="1:9" x14ac:dyDescent="0.3">
      <c r="A1588" s="1" t="str">
        <f>"44"</f>
        <v>44</v>
      </c>
      <c r="B1588" s="4" t="str">
        <f>"AFM RECYCLAGE"</f>
        <v>AFM RECYCLAGE</v>
      </c>
      <c r="C1588" s="4">
        <v>383482635</v>
      </c>
      <c r="D1588" s="3" t="s">
        <v>0</v>
      </c>
      <c r="E1588" s="2" t="str">
        <f>"PR4400022D"</f>
        <v>PR4400022D</v>
      </c>
      <c r="F1588" s="5">
        <v>44944</v>
      </c>
      <c r="G1588" s="5">
        <v>54789</v>
      </c>
      <c r="H1588" s="4" t="str">
        <f>""</f>
        <v/>
      </c>
      <c r="I1588" s="4" t="str">
        <f>""</f>
        <v/>
      </c>
    </row>
    <row r="1589" spans="1:9" x14ac:dyDescent="0.3">
      <c r="A1589" s="1" t="str">
        <f>"44"</f>
        <v>44</v>
      </c>
      <c r="B1589" s="4" t="str">
        <f>"AFM RECYCLAGE"</f>
        <v>AFM RECYCLAGE</v>
      </c>
      <c r="C1589" s="4">
        <v>383482635</v>
      </c>
      <c r="D1589" s="3" t="s">
        <v>0</v>
      </c>
      <c r="E1589" s="2" t="str">
        <f>"0006302808"</f>
        <v>0006302808</v>
      </c>
      <c r="F1589" s="5">
        <v>44944</v>
      </c>
      <c r="G1589" s="5">
        <v>54789</v>
      </c>
      <c r="H1589" s="4" t="str">
        <f>""</f>
        <v/>
      </c>
      <c r="I1589" s="4" t="str">
        <f>""</f>
        <v/>
      </c>
    </row>
    <row r="1590" spans="1:9" x14ac:dyDescent="0.3">
      <c r="A1590" s="1" t="str">
        <f>"44"</f>
        <v>44</v>
      </c>
      <c r="B1590" s="4" t="str">
        <f>"AFM RECYCLAGE"</f>
        <v>AFM RECYCLAGE</v>
      </c>
      <c r="C1590" s="4">
        <v>383482635</v>
      </c>
      <c r="D1590" s="3" t="s">
        <v>0</v>
      </c>
      <c r="E1590" s="2" t="str">
        <f>"PR4400010D"</f>
        <v>PR4400010D</v>
      </c>
      <c r="F1590" s="5">
        <v>43244</v>
      </c>
      <c r="G1590" s="5">
        <v>54789</v>
      </c>
      <c r="H1590" s="4" t="str">
        <f>""</f>
        <v/>
      </c>
      <c r="I1590" s="4" t="str">
        <f>""</f>
        <v/>
      </c>
    </row>
    <row r="1591" spans="1:9" x14ac:dyDescent="0.3">
      <c r="A1591" s="1" t="str">
        <f>"44"</f>
        <v>44</v>
      </c>
      <c r="B1591" s="4" t="str">
        <f>"AFM RECYCLAGE"</f>
        <v>AFM RECYCLAGE</v>
      </c>
      <c r="C1591" s="4">
        <v>383482635</v>
      </c>
      <c r="D1591" s="3" t="s">
        <v>0</v>
      </c>
      <c r="E1591" s="2" t="str">
        <f>"0006303060"</f>
        <v>0006303060</v>
      </c>
      <c r="F1591" s="5">
        <v>43244</v>
      </c>
      <c r="G1591" s="5">
        <v>54789</v>
      </c>
      <c r="H1591" s="4" t="str">
        <f>""</f>
        <v/>
      </c>
      <c r="I1591" s="4" t="str">
        <f>""</f>
        <v/>
      </c>
    </row>
    <row r="1592" spans="1:9" x14ac:dyDescent="0.3">
      <c r="A1592" s="1" t="str">
        <f>"44"</f>
        <v>44</v>
      </c>
      <c r="B1592" s="4" t="str">
        <f>"CARBLAIN"</f>
        <v>CARBLAIN</v>
      </c>
      <c r="C1592" s="4">
        <v>392640421</v>
      </c>
      <c r="D1592" s="3" t="s">
        <v>0</v>
      </c>
      <c r="E1592" s="2" t="str">
        <f>"PR4400040D"</f>
        <v>PR4400040D</v>
      </c>
      <c r="F1592" s="5">
        <v>43783</v>
      </c>
      <c r="G1592" s="5">
        <v>54789</v>
      </c>
      <c r="H1592" s="4" t="str">
        <f>""</f>
        <v/>
      </c>
      <c r="I1592" s="4" t="str">
        <f>""</f>
        <v/>
      </c>
    </row>
    <row r="1593" spans="1:9" x14ac:dyDescent="0.3">
      <c r="A1593" s="1" t="str">
        <f>"44"</f>
        <v>44</v>
      </c>
      <c r="B1593" s="4" t="str">
        <f>"CARBLAIN"</f>
        <v>CARBLAIN</v>
      </c>
      <c r="C1593" s="4">
        <v>392640421</v>
      </c>
      <c r="D1593" s="3" t="s">
        <v>0</v>
      </c>
      <c r="E1593" s="2" t="str">
        <f>"0006302603"</f>
        <v>0006302603</v>
      </c>
      <c r="F1593" s="5">
        <v>43783</v>
      </c>
      <c r="G1593" s="5">
        <v>54789</v>
      </c>
      <c r="H1593" s="4" t="str">
        <f>""</f>
        <v/>
      </c>
      <c r="I1593" s="4" t="str">
        <f>""</f>
        <v/>
      </c>
    </row>
    <row r="1594" spans="1:9" x14ac:dyDescent="0.3">
      <c r="A1594" s="1" t="str">
        <f>"44"</f>
        <v>44</v>
      </c>
      <c r="B1594" s="4" t="str">
        <f>"CLAVIER Sébastien"</f>
        <v>CLAVIER Sébastien</v>
      </c>
      <c r="C1594" s="4">
        <v>400234498</v>
      </c>
      <c r="D1594" s="3" t="s">
        <v>0</v>
      </c>
      <c r="E1594" s="2" t="str">
        <f>"PR4400017D"</f>
        <v>PR4400017D</v>
      </c>
      <c r="F1594" s="5">
        <v>42345</v>
      </c>
      <c r="G1594" s="5">
        <v>54789</v>
      </c>
      <c r="H1594" s="4" t="str">
        <f>"CLAVIER"</f>
        <v>CLAVIER</v>
      </c>
      <c r="I1594" s="4" t="str">
        <f>"Sébastien"</f>
        <v>Sébastien</v>
      </c>
    </row>
    <row r="1595" spans="1:9" x14ac:dyDescent="0.3">
      <c r="A1595" s="1" t="str">
        <f>"44"</f>
        <v>44</v>
      </c>
      <c r="B1595" s="4" t="str">
        <f>"CLAVIER Sébastien"</f>
        <v>CLAVIER Sébastien</v>
      </c>
      <c r="C1595" s="4">
        <v>400234498</v>
      </c>
      <c r="D1595" s="3" t="s">
        <v>0</v>
      </c>
      <c r="E1595" s="2" t="str">
        <f>"0006302602"</f>
        <v>0006302602</v>
      </c>
      <c r="F1595" s="5">
        <v>42345</v>
      </c>
      <c r="G1595" s="5">
        <v>54789</v>
      </c>
      <c r="H1595" s="4" t="str">
        <f>""</f>
        <v/>
      </c>
      <c r="I1595" s="4" t="str">
        <f>""</f>
        <v/>
      </c>
    </row>
    <row r="1596" spans="1:9" x14ac:dyDescent="0.3">
      <c r="A1596" s="1" t="str">
        <f>"44"</f>
        <v>44</v>
      </c>
      <c r="B1596" s="4" t="str">
        <f>"COURTOIS DEMOLITION AUTO"</f>
        <v>COURTOIS DEMOLITION AUTO</v>
      </c>
      <c r="C1596" s="4">
        <v>432957728</v>
      </c>
      <c r="D1596" s="3" t="s">
        <v>0</v>
      </c>
      <c r="E1596" s="2" t="str">
        <f>"0006303076"</f>
        <v>0006303076</v>
      </c>
      <c r="F1596" s="5">
        <v>44218</v>
      </c>
      <c r="G1596" s="5">
        <v>54789</v>
      </c>
      <c r="H1596" s="4" t="str">
        <f>""</f>
        <v/>
      </c>
      <c r="I1596" s="4" t="str">
        <f>""</f>
        <v/>
      </c>
    </row>
    <row r="1597" spans="1:9" x14ac:dyDescent="0.3">
      <c r="A1597" s="1" t="str">
        <f>"44"</f>
        <v>44</v>
      </c>
      <c r="B1597" s="4" t="str">
        <f>"FORNES"</f>
        <v>FORNES</v>
      </c>
      <c r="C1597" s="4">
        <v>441258597</v>
      </c>
      <c r="D1597" s="3" t="s">
        <v>0</v>
      </c>
      <c r="E1597" s="2" t="str">
        <f>"PR4400027D"</f>
        <v>PR4400027D</v>
      </c>
      <c r="F1597" s="5">
        <v>41936</v>
      </c>
      <c r="G1597" s="5">
        <v>54789</v>
      </c>
      <c r="H1597" s="4" t="str">
        <f>""</f>
        <v/>
      </c>
      <c r="I1597" s="4" t="str">
        <f>""</f>
        <v/>
      </c>
    </row>
    <row r="1598" spans="1:9" x14ac:dyDescent="0.3">
      <c r="A1598" s="1" t="str">
        <f>"44"</f>
        <v>44</v>
      </c>
      <c r="B1598" s="4" t="str">
        <f>"FORNES"</f>
        <v>FORNES</v>
      </c>
      <c r="C1598" s="4">
        <v>441258597</v>
      </c>
      <c r="D1598" s="3" t="s">
        <v>0</v>
      </c>
      <c r="E1598" s="2" t="str">
        <f>"0006305063"</f>
        <v>0006305063</v>
      </c>
      <c r="F1598" s="5">
        <v>41936</v>
      </c>
      <c r="G1598" s="5">
        <v>54789</v>
      </c>
      <c r="H1598" s="4" t="str">
        <f>""</f>
        <v/>
      </c>
      <c r="I1598" s="4" t="str">
        <f>""</f>
        <v/>
      </c>
    </row>
    <row r="1599" spans="1:9" x14ac:dyDescent="0.3">
      <c r="A1599" s="1" t="str">
        <f>"44"</f>
        <v>44</v>
      </c>
      <c r="B1599" s="4" t="str">
        <f>"COPA"</f>
        <v>COPA</v>
      </c>
      <c r="C1599" s="4">
        <v>484314877</v>
      </c>
      <c r="D1599" s="3" t="s">
        <v>0</v>
      </c>
      <c r="E1599" s="2" t="str">
        <f>"PR4400001D"</f>
        <v>PR4400001D</v>
      </c>
      <c r="F1599" s="5">
        <v>43238</v>
      </c>
      <c r="G1599" s="5">
        <v>54789</v>
      </c>
      <c r="H1599" s="4" t="str">
        <f>""</f>
        <v/>
      </c>
      <c r="I1599" s="4" t="str">
        <f>""</f>
        <v/>
      </c>
    </row>
    <row r="1600" spans="1:9" x14ac:dyDescent="0.3">
      <c r="A1600" s="1" t="str">
        <f>"44"</f>
        <v>44</v>
      </c>
      <c r="B1600" s="4" t="str">
        <f>"COPA"</f>
        <v>COPA</v>
      </c>
      <c r="C1600" s="4">
        <v>484314877</v>
      </c>
      <c r="D1600" s="3" t="s">
        <v>0</v>
      </c>
      <c r="E1600" s="2" t="str">
        <f>"0006302744"</f>
        <v>0006302744</v>
      </c>
      <c r="F1600" s="5">
        <v>43238</v>
      </c>
      <c r="G1600" s="5">
        <v>54789</v>
      </c>
      <c r="H1600" s="4" t="str">
        <f>""</f>
        <v/>
      </c>
      <c r="I1600" s="4" t="str">
        <f>""</f>
        <v/>
      </c>
    </row>
    <row r="1601" spans="1:9" x14ac:dyDescent="0.3">
      <c r="A1601" s="1" t="str">
        <f>"44"</f>
        <v>44</v>
      </c>
      <c r="B1601" s="4" t="str">
        <f>"COPA"</f>
        <v>COPA</v>
      </c>
      <c r="C1601" s="4">
        <v>484314877</v>
      </c>
      <c r="D1601" s="3" t="s">
        <v>0</v>
      </c>
      <c r="E1601" s="2" t="str">
        <f>"PR4400002D"</f>
        <v>PR4400002D</v>
      </c>
      <c r="F1601" s="5">
        <v>43238</v>
      </c>
      <c r="G1601" s="5">
        <v>54789</v>
      </c>
      <c r="H1601" s="4" t="str">
        <f>""</f>
        <v/>
      </c>
      <c r="I1601" s="4" t="str">
        <f>""</f>
        <v/>
      </c>
    </row>
    <row r="1602" spans="1:9" x14ac:dyDescent="0.3">
      <c r="A1602" s="1" t="str">
        <f>"44"</f>
        <v>44</v>
      </c>
      <c r="B1602" s="4" t="str">
        <f>"COPA"</f>
        <v>COPA</v>
      </c>
      <c r="C1602" s="4">
        <v>484314877</v>
      </c>
      <c r="D1602" s="3" t="s">
        <v>0</v>
      </c>
      <c r="E1602" s="2" t="str">
        <f>"0006302763"</f>
        <v>0006302763</v>
      </c>
      <c r="F1602" s="5">
        <v>43238</v>
      </c>
      <c r="G1602" s="5">
        <v>54789</v>
      </c>
      <c r="H1602" s="4" t="str">
        <f>""</f>
        <v/>
      </c>
      <c r="I1602" s="4" t="str">
        <f>""</f>
        <v/>
      </c>
    </row>
    <row r="1603" spans="1:9" x14ac:dyDescent="0.3">
      <c r="A1603" s="1" t="str">
        <f>"44"</f>
        <v>44</v>
      </c>
      <c r="B1603" s="4" t="str">
        <f>"COPA ( EX : DECONSTRUCTION AUTO BROCHARD)"</f>
        <v>COPA ( EX : DECONSTRUCTION AUTO BROCHARD)</v>
      </c>
      <c r="C1603" s="4">
        <v>484314877</v>
      </c>
      <c r="D1603" s="3" t="s">
        <v>0</v>
      </c>
      <c r="E1603" s="2" t="str">
        <f>"PR4400003D"</f>
        <v>PR4400003D</v>
      </c>
      <c r="F1603" s="5">
        <v>43180</v>
      </c>
      <c r="G1603" s="5">
        <v>54789</v>
      </c>
      <c r="H1603" s="4" t="str">
        <f>""</f>
        <v/>
      </c>
      <c r="I1603" s="4" t="str">
        <f>""</f>
        <v/>
      </c>
    </row>
    <row r="1604" spans="1:9" x14ac:dyDescent="0.3">
      <c r="A1604" s="1" t="str">
        <f>"44"</f>
        <v>44</v>
      </c>
      <c r="B1604" s="4" t="str">
        <f>"COPA ( EX : DECONSTRUCTION AUTO BROCHARD)"</f>
        <v>COPA ( EX : DECONSTRUCTION AUTO BROCHARD)</v>
      </c>
      <c r="C1604" s="4">
        <v>484314877</v>
      </c>
      <c r="D1604" s="3" t="s">
        <v>0</v>
      </c>
      <c r="E1604" s="2" t="str">
        <f>"0006302768"</f>
        <v>0006302768</v>
      </c>
      <c r="F1604" s="5">
        <v>43180</v>
      </c>
      <c r="G1604" s="5">
        <v>54789</v>
      </c>
      <c r="H1604" s="4" t="str">
        <f>""</f>
        <v/>
      </c>
      <c r="I1604" s="4" t="str">
        <f>""</f>
        <v/>
      </c>
    </row>
    <row r="1605" spans="1:9" x14ac:dyDescent="0.3">
      <c r="A1605" s="1" t="str">
        <f>"44"</f>
        <v>44</v>
      </c>
      <c r="B1605" s="4" t="str">
        <f>"AUTOMOBILE DU DON"</f>
        <v>AUTOMOBILE DU DON</v>
      </c>
      <c r="C1605" s="4">
        <v>487966541</v>
      </c>
      <c r="D1605" s="3" t="s">
        <v>0</v>
      </c>
      <c r="E1605" s="2" t="str">
        <f>"0006305522"</f>
        <v>0006305522</v>
      </c>
      <c r="F1605" s="5">
        <v>40505</v>
      </c>
      <c r="G1605" s="5">
        <v>54789</v>
      </c>
      <c r="H1605" s="4" t="str">
        <f>""</f>
        <v/>
      </c>
      <c r="I1605" s="4" t="str">
        <f>""</f>
        <v/>
      </c>
    </row>
    <row r="1606" spans="1:9" x14ac:dyDescent="0.3">
      <c r="A1606" s="1" t="str">
        <f>"44"</f>
        <v>44</v>
      </c>
      <c r="B1606" s="4" t="str">
        <f>"PAPREC METAL"</f>
        <v>PAPREC METAL</v>
      </c>
      <c r="C1606" s="4">
        <v>508976966</v>
      </c>
      <c r="D1606" s="3" t="s">
        <v>0</v>
      </c>
      <c r="E1606" s="2" t="str">
        <f>"PR4400033D"</f>
        <v>PR4400033D</v>
      </c>
      <c r="F1606" s="5">
        <v>44245</v>
      </c>
      <c r="G1606" s="5">
        <v>54789</v>
      </c>
      <c r="H1606" s="4" t="str">
        <f>""</f>
        <v/>
      </c>
      <c r="I1606" s="4" t="str">
        <f>""</f>
        <v/>
      </c>
    </row>
    <row r="1607" spans="1:9" x14ac:dyDescent="0.3">
      <c r="A1607" s="1" t="str">
        <f>"44"</f>
        <v>44</v>
      </c>
      <c r="B1607" s="4" t="str">
        <f>"PAPREC METAL"</f>
        <v>PAPREC METAL</v>
      </c>
      <c r="C1607" s="4">
        <v>508976966</v>
      </c>
      <c r="D1607" s="3" t="s">
        <v>0</v>
      </c>
      <c r="E1607" s="2" t="str">
        <f>"0006305819"</f>
        <v>0006305819</v>
      </c>
      <c r="F1607" s="5">
        <v>44245</v>
      </c>
      <c r="G1607" s="5">
        <v>54789</v>
      </c>
      <c r="H1607" s="4" t="str">
        <f>""</f>
        <v/>
      </c>
      <c r="I1607" s="4" t="str">
        <f>""</f>
        <v/>
      </c>
    </row>
    <row r="1608" spans="1:9" x14ac:dyDescent="0.3">
      <c r="A1608" s="1" t="str">
        <f>"44"</f>
        <v>44</v>
      </c>
      <c r="B1608" s="4" t="str">
        <f>"ATLANTIC RECYCL AUTO"</f>
        <v>ATLANTIC RECYCL AUTO</v>
      </c>
      <c r="C1608" s="4">
        <v>523974756</v>
      </c>
      <c r="D1608" s="3" t="s">
        <v>0</v>
      </c>
      <c r="E1608" s="2" t="str">
        <f>"0006303073"</f>
        <v>0006303073</v>
      </c>
      <c r="F1608" s="5">
        <v>41817</v>
      </c>
      <c r="G1608" s="5">
        <v>54789</v>
      </c>
      <c r="H1608" s="4" t="str">
        <f>""</f>
        <v/>
      </c>
      <c r="I1608" s="4" t="str">
        <f>""</f>
        <v/>
      </c>
    </row>
    <row r="1609" spans="1:9" x14ac:dyDescent="0.3">
      <c r="A1609" s="1" t="str">
        <f>"44"</f>
        <v>44</v>
      </c>
      <c r="B1609" s="4" t="str">
        <f>"ATLANTIC RECYCL AUTO"</f>
        <v>ATLANTIC RECYCL AUTO</v>
      </c>
      <c r="C1609" s="4">
        <v>523974756</v>
      </c>
      <c r="D1609" s="3" t="s">
        <v>0</v>
      </c>
      <c r="E1609" s="2" t="str">
        <f>"PR4400032D"</f>
        <v>PR4400032D</v>
      </c>
      <c r="F1609" s="5">
        <v>43410</v>
      </c>
      <c r="G1609" s="5">
        <v>54789</v>
      </c>
      <c r="H1609" s="4" t="str">
        <f>""</f>
        <v/>
      </c>
      <c r="I1609" s="4" t="str">
        <f>""</f>
        <v/>
      </c>
    </row>
    <row r="1610" spans="1:9" x14ac:dyDescent="0.3">
      <c r="A1610" s="1" t="str">
        <f>"44"</f>
        <v>44</v>
      </c>
      <c r="B1610" s="4" t="str">
        <f>"ATLANTIC RECYCL AUTO"</f>
        <v>ATLANTIC RECYCL AUTO</v>
      </c>
      <c r="C1610" s="4">
        <v>523974756</v>
      </c>
      <c r="D1610" s="3" t="s">
        <v>0</v>
      </c>
      <c r="E1610" s="2" t="str">
        <f>"0006306443"</f>
        <v>0006306443</v>
      </c>
      <c r="F1610" s="5">
        <v>43410</v>
      </c>
      <c r="G1610" s="5">
        <v>54789</v>
      </c>
      <c r="H1610" s="4" t="str">
        <f>""</f>
        <v/>
      </c>
      <c r="I1610" s="4" t="str">
        <f>""</f>
        <v/>
      </c>
    </row>
    <row r="1611" spans="1:9" x14ac:dyDescent="0.3">
      <c r="A1611" s="1" t="str">
        <f>"44"</f>
        <v>44</v>
      </c>
      <c r="B1611" s="4" t="str">
        <f>"FOUCAULT RECYCLAGE"</f>
        <v>FOUCAULT RECYCLAGE</v>
      </c>
      <c r="C1611" s="4">
        <v>524081288</v>
      </c>
      <c r="D1611" s="3" t="s">
        <v>0</v>
      </c>
      <c r="E1611" s="2" t="str">
        <f>"PR4400030D"</f>
        <v>PR4400030D</v>
      </c>
      <c r="F1611" s="5">
        <v>42439</v>
      </c>
      <c r="G1611" s="5">
        <v>54789</v>
      </c>
      <c r="H1611" s="4" t="str">
        <f>""</f>
        <v/>
      </c>
      <c r="I1611" s="4" t="str">
        <f>""</f>
        <v/>
      </c>
    </row>
    <row r="1612" spans="1:9" x14ac:dyDescent="0.3">
      <c r="A1612" s="1" t="str">
        <f>"44"</f>
        <v>44</v>
      </c>
      <c r="B1612" s="4" t="str">
        <f>"FOUCAULT RECYCLAGE"</f>
        <v>FOUCAULT RECYCLAGE</v>
      </c>
      <c r="C1612" s="4">
        <v>524081288</v>
      </c>
      <c r="D1612" s="3" t="s">
        <v>0</v>
      </c>
      <c r="E1612" s="2" t="str">
        <f>"0006303049"</f>
        <v>0006303049</v>
      </c>
      <c r="F1612" s="5">
        <v>42439</v>
      </c>
      <c r="G1612" s="5">
        <v>54789</v>
      </c>
      <c r="H1612" s="4" t="str">
        <f>""</f>
        <v/>
      </c>
      <c r="I1612" s="4" t="str">
        <f>""</f>
        <v/>
      </c>
    </row>
    <row r="1613" spans="1:9" x14ac:dyDescent="0.3">
      <c r="A1613" s="1" t="str">
        <f>"44"</f>
        <v>44</v>
      </c>
      <c r="B1613" s="4" t="str">
        <f>"GUY DAUPHIN ENVIRONNEMENT"</f>
        <v>GUY DAUPHIN ENVIRONNEMENT</v>
      </c>
      <c r="C1613" s="4">
        <v>653820530</v>
      </c>
      <c r="D1613" s="3" t="s">
        <v>0</v>
      </c>
      <c r="E1613" s="2" t="str">
        <f>"PR4400005D"</f>
        <v>PR4400005D</v>
      </c>
      <c r="F1613" s="5">
        <v>43238</v>
      </c>
      <c r="G1613" s="5">
        <v>54789</v>
      </c>
      <c r="H1613" s="4" t="str">
        <f>""</f>
        <v/>
      </c>
      <c r="I1613" s="4" t="str">
        <f>""</f>
        <v/>
      </c>
    </row>
    <row r="1614" spans="1:9" x14ac:dyDescent="0.3">
      <c r="A1614" s="1" t="str">
        <f>"44"</f>
        <v>44</v>
      </c>
      <c r="B1614" s="4" t="str">
        <f>"SNRA ( SOCIETE NANTAISE RECYCLAGE AUTOMOBILE   )"</f>
        <v>SNRA ( SOCIETE NANTAISE RECYCLAGE AUTOMOBILE   )</v>
      </c>
      <c r="C1614" s="4">
        <v>794496919</v>
      </c>
      <c r="D1614" s="3" t="s">
        <v>0</v>
      </c>
      <c r="E1614" s="2" t="str">
        <f>"PR4400038D"</f>
        <v>PR4400038D</v>
      </c>
      <c r="F1614" s="5">
        <v>41632</v>
      </c>
      <c r="G1614" s="4" t="s">
        <v>1</v>
      </c>
      <c r="H1614" s="4" t="str">
        <f>""</f>
        <v/>
      </c>
      <c r="I1614" s="4" t="str">
        <f>""</f>
        <v/>
      </c>
    </row>
    <row r="1615" spans="1:9" x14ac:dyDescent="0.3">
      <c r="A1615" s="1" t="str">
        <f>"44"</f>
        <v>44</v>
      </c>
      <c r="B1615" s="4" t="str">
        <f>"SNRA ( SOCIETE NANTAISE RECYCLAGE AUTOMOBILE   )"</f>
        <v>SNRA ( SOCIETE NANTAISE RECYCLAGE AUTOMOBILE   )</v>
      </c>
      <c r="C1615" s="4">
        <v>794496919</v>
      </c>
      <c r="D1615" s="3" t="s">
        <v>0</v>
      </c>
      <c r="E1615" s="2" t="str">
        <f>"0006303065"</f>
        <v>0006303065</v>
      </c>
      <c r="F1615" s="5">
        <v>41632</v>
      </c>
      <c r="G1615" s="5">
        <v>54789</v>
      </c>
      <c r="H1615" s="4" t="str">
        <f>""</f>
        <v/>
      </c>
      <c r="I1615" s="4" t="str">
        <f>""</f>
        <v/>
      </c>
    </row>
    <row r="1616" spans="1:9" x14ac:dyDescent="0.3">
      <c r="A1616" s="1" t="str">
        <f>"44"</f>
        <v>44</v>
      </c>
      <c r="B1616" s="4" t="str">
        <f>"MANDE CASSE AUTOMOBILE"</f>
        <v>MANDE CASSE AUTOMOBILE</v>
      </c>
      <c r="C1616" s="4">
        <v>818211187</v>
      </c>
      <c r="D1616" s="3" t="s">
        <v>0</v>
      </c>
      <c r="E1616" s="2" t="str">
        <f>"PR4400037D"</f>
        <v>PR4400037D</v>
      </c>
      <c r="F1616" s="5">
        <v>42828</v>
      </c>
      <c r="G1616" s="5">
        <v>54789</v>
      </c>
      <c r="H1616" s="4" t="str">
        <f>""</f>
        <v/>
      </c>
      <c r="I1616" s="4" t="str">
        <f>""</f>
        <v/>
      </c>
    </row>
    <row r="1617" spans="1:9" x14ac:dyDescent="0.3">
      <c r="A1617" s="1" t="str">
        <f>"44"</f>
        <v>44</v>
      </c>
      <c r="B1617" s="4" t="str">
        <f>"MANDE CASSE AUTOMOBILE"</f>
        <v>MANDE CASSE AUTOMOBILE</v>
      </c>
      <c r="C1617" s="4">
        <v>818211187</v>
      </c>
      <c r="D1617" s="3" t="s">
        <v>0</v>
      </c>
      <c r="E1617" s="2" t="str">
        <f>"0006305527"</f>
        <v>0006305527</v>
      </c>
      <c r="F1617" s="5">
        <v>42828</v>
      </c>
      <c r="G1617" s="5">
        <v>54789</v>
      </c>
      <c r="H1617" s="4" t="str">
        <f>""</f>
        <v/>
      </c>
      <c r="I1617" s="4" t="str">
        <f>""</f>
        <v/>
      </c>
    </row>
    <row r="1618" spans="1:9" x14ac:dyDescent="0.3">
      <c r="A1618" s="1" t="str">
        <f>"44"</f>
        <v>44</v>
      </c>
      <c r="B1618" s="4" t="str">
        <f>"BARBAZANGES"</f>
        <v>BARBAZANGES</v>
      </c>
      <c r="C1618" s="4">
        <v>870801958</v>
      </c>
      <c r="D1618" s="3" t="s">
        <v>0</v>
      </c>
      <c r="E1618" s="2" t="str">
        <f>"PR4400013D"</f>
        <v>PR4400013D</v>
      </c>
      <c r="F1618" s="5">
        <v>43480</v>
      </c>
      <c r="G1618" s="5">
        <v>54789</v>
      </c>
      <c r="H1618" s="4" t="str">
        <f>""</f>
        <v/>
      </c>
      <c r="I1618" s="4" t="str">
        <f>""</f>
        <v/>
      </c>
    </row>
    <row r="1619" spans="1:9" x14ac:dyDescent="0.3">
      <c r="A1619" s="1" t="str">
        <f>"44"</f>
        <v>44</v>
      </c>
      <c r="B1619" s="4" t="str">
        <f>"BARBAZANGES"</f>
        <v>BARBAZANGES</v>
      </c>
      <c r="C1619" s="4">
        <v>870801958</v>
      </c>
      <c r="D1619" s="3" t="s">
        <v>0</v>
      </c>
      <c r="E1619" s="2" t="str">
        <f>"0006302453"</f>
        <v>0006302453</v>
      </c>
      <c r="F1619" s="5">
        <v>43480</v>
      </c>
      <c r="G1619" s="5">
        <v>54789</v>
      </c>
      <c r="H1619" s="4" t="str">
        <f>""</f>
        <v/>
      </c>
      <c r="I1619" s="4" t="str">
        <f>""</f>
        <v/>
      </c>
    </row>
    <row r="1620" spans="1:9" x14ac:dyDescent="0.3">
      <c r="A1620" s="1" t="str">
        <f>"44"</f>
        <v>44</v>
      </c>
      <c r="B1620" s="4" t="str">
        <f>"CAR CASSE 44"</f>
        <v>CAR CASSE 44</v>
      </c>
      <c r="C1620" s="4">
        <v>879834695</v>
      </c>
      <c r="D1620" s="3" t="s">
        <v>0</v>
      </c>
      <c r="E1620" s="2" t="str">
        <f>"PR4400034D"</f>
        <v>PR4400034D</v>
      </c>
      <c r="F1620" s="5">
        <v>44992</v>
      </c>
      <c r="G1620" s="5">
        <v>54789</v>
      </c>
      <c r="H1620" s="4" t="str">
        <f>""</f>
        <v/>
      </c>
      <c r="I1620" s="4" t="str">
        <f>""</f>
        <v/>
      </c>
    </row>
    <row r="1621" spans="1:9" x14ac:dyDescent="0.3">
      <c r="A1621" s="1" t="str">
        <f>"44"</f>
        <v>44</v>
      </c>
      <c r="B1621" s="4" t="str">
        <f>"CAR CASSE 44"</f>
        <v>CAR CASSE 44</v>
      </c>
      <c r="C1621" s="4">
        <v>879834695</v>
      </c>
      <c r="D1621" s="3" t="s">
        <v>0</v>
      </c>
      <c r="E1621" s="2" t="str">
        <f>"0006306194"</f>
        <v>0006306194</v>
      </c>
      <c r="F1621" s="5">
        <v>44992</v>
      </c>
      <c r="G1621" s="5">
        <v>54789</v>
      </c>
      <c r="H1621" s="4" t="str">
        <f>""</f>
        <v/>
      </c>
      <c r="I1621" s="4" t="str">
        <f>""</f>
        <v/>
      </c>
    </row>
    <row r="1622" spans="1:9" x14ac:dyDescent="0.3">
      <c r="A1622" s="1" t="str">
        <f>"44"</f>
        <v>44</v>
      </c>
      <c r="B1622" s="4" t="str">
        <f>"WALL AUTO FRANCE"</f>
        <v>WALL AUTO FRANCE</v>
      </c>
      <c r="C1622" s="4">
        <v>914143383</v>
      </c>
      <c r="D1622" s="3" t="s">
        <v>0</v>
      </c>
      <c r="E1622" s="2" t="str">
        <f>"PR4400042D"</f>
        <v>PR4400042D</v>
      </c>
      <c r="F1622" s="5">
        <v>45335</v>
      </c>
      <c r="G1622" s="5">
        <v>54789</v>
      </c>
      <c r="H1622" s="4" t="str">
        <f>""</f>
        <v/>
      </c>
      <c r="I1622" s="4" t="str">
        <f>""</f>
        <v/>
      </c>
    </row>
    <row r="1623" spans="1:9" x14ac:dyDescent="0.3">
      <c r="A1623" s="1" t="str">
        <f>"44"</f>
        <v>44</v>
      </c>
      <c r="B1623" s="4" t="str">
        <f>"WALL AUTO FRANCE"</f>
        <v>WALL AUTO FRANCE</v>
      </c>
      <c r="C1623" s="4">
        <v>914143383</v>
      </c>
      <c r="D1623" s="3" t="s">
        <v>0</v>
      </c>
      <c r="E1623" s="2" t="str">
        <f>"0006303076"</f>
        <v>0006303076</v>
      </c>
      <c r="F1623" s="5">
        <v>45335</v>
      </c>
      <c r="G1623" s="5">
        <v>54789</v>
      </c>
      <c r="H1623" s="4" t="str">
        <f>""</f>
        <v/>
      </c>
      <c r="I1623" s="4" t="str">
        <f>""</f>
        <v/>
      </c>
    </row>
    <row r="1624" spans="1:9" x14ac:dyDescent="0.3">
      <c r="A1624" s="1" t="str">
        <f>"44"</f>
        <v>44</v>
      </c>
      <c r="B1624" s="4" t="str">
        <f>"TRENTE TROIS"</f>
        <v>TRENTE TROIS</v>
      </c>
      <c r="C1624" s="4">
        <v>918702531</v>
      </c>
      <c r="D1624" s="3" t="s">
        <v>0</v>
      </c>
      <c r="E1624" s="2" t="str">
        <f>"PR4400041D"</f>
        <v>PR4400041D</v>
      </c>
      <c r="F1624" s="5">
        <v>44888</v>
      </c>
      <c r="G1624" s="5">
        <v>54789</v>
      </c>
      <c r="H1624" s="4" t="str">
        <f>""</f>
        <v/>
      </c>
      <c r="I1624" s="4" t="str">
        <f>""</f>
        <v/>
      </c>
    </row>
    <row r="1625" spans="1:9" x14ac:dyDescent="0.3">
      <c r="A1625" s="1" t="str">
        <f>"44"</f>
        <v>44</v>
      </c>
      <c r="B1625" s="4" t="str">
        <f>"TRENTE TROIS"</f>
        <v>TRENTE TROIS</v>
      </c>
      <c r="C1625" s="4">
        <v>918702531</v>
      </c>
      <c r="D1625" s="3" t="s">
        <v>0</v>
      </c>
      <c r="E1625" s="2" t="str">
        <f>"PR4400021B"</f>
        <v>PR4400021B</v>
      </c>
      <c r="F1625" s="5">
        <v>44896</v>
      </c>
      <c r="G1625" s="5">
        <v>54789</v>
      </c>
      <c r="H1625" s="4" t="str">
        <f>""</f>
        <v/>
      </c>
      <c r="I1625" s="4" t="str">
        <f>""</f>
        <v/>
      </c>
    </row>
    <row r="1626" spans="1:9" x14ac:dyDescent="0.3">
      <c r="A1626" s="1" t="str">
        <f>"44"</f>
        <v>44</v>
      </c>
      <c r="B1626" s="4" t="str">
        <f>"TRENTE TROIS"</f>
        <v>TRENTE TROIS</v>
      </c>
      <c r="C1626" s="4">
        <v>918702531</v>
      </c>
      <c r="D1626" s="3" t="s">
        <v>0</v>
      </c>
      <c r="E1626" s="2" t="str">
        <f>"0006304736"</f>
        <v>0006304736</v>
      </c>
      <c r="F1626" s="5">
        <v>44896</v>
      </c>
      <c r="G1626" s="5">
        <v>54789</v>
      </c>
      <c r="H1626" s="4" t="str">
        <f>""</f>
        <v/>
      </c>
      <c r="I1626" s="4" t="str">
        <f>""</f>
        <v/>
      </c>
    </row>
    <row r="1627" spans="1:9" x14ac:dyDescent="0.3">
      <c r="A1627" s="1" t="str">
        <f>"45"</f>
        <v>45</v>
      </c>
      <c r="B1627" s="4" t="str">
        <f>"ORLEANS SUD AUTO"</f>
        <v>ORLEANS SUD AUTO</v>
      </c>
      <c r="C1627" s="4">
        <v>87280210</v>
      </c>
      <c r="D1627" s="3" t="s">
        <v>0</v>
      </c>
      <c r="E1627" s="2" t="str">
        <f>"PR4500007D"</f>
        <v>PR4500007D</v>
      </c>
      <c r="F1627" s="5">
        <v>38925</v>
      </c>
      <c r="G1627" s="5">
        <v>54789</v>
      </c>
      <c r="H1627" s="4" t="str">
        <f>"sans objet"</f>
        <v>sans objet</v>
      </c>
      <c r="I1627" s="4" t="str">
        <f>""</f>
        <v/>
      </c>
    </row>
    <row r="1628" spans="1:9" x14ac:dyDescent="0.3">
      <c r="A1628" s="1" t="str">
        <f>"45"</f>
        <v>45</v>
      </c>
      <c r="B1628" s="4" t="str">
        <f>"ORLEANS SUD AUTO"</f>
        <v>ORLEANS SUD AUTO</v>
      </c>
      <c r="C1628" s="4">
        <v>87280210</v>
      </c>
      <c r="D1628" s="3" t="s">
        <v>0</v>
      </c>
      <c r="E1628" s="2" t="str">
        <f>"0010001405"</f>
        <v>0010001405</v>
      </c>
      <c r="F1628" s="5">
        <v>38925</v>
      </c>
      <c r="G1628" s="5">
        <v>54789</v>
      </c>
      <c r="H1628" s="4" t="str">
        <f>"sans objet"</f>
        <v>sans objet</v>
      </c>
      <c r="I1628" s="4" t="str">
        <f>""</f>
        <v/>
      </c>
    </row>
    <row r="1629" spans="1:9" x14ac:dyDescent="0.3">
      <c r="A1629" s="1" t="str">
        <f>"45"</f>
        <v>45</v>
      </c>
      <c r="B1629" s="4" t="str">
        <f>"HASLOUIN"</f>
        <v>HASLOUIN</v>
      </c>
      <c r="C1629" s="4">
        <v>314788134</v>
      </c>
      <c r="D1629" s="3" t="s">
        <v>0</v>
      </c>
      <c r="E1629" s="2" t="str">
        <f>"PR4500013D"</f>
        <v>PR4500013D</v>
      </c>
      <c r="F1629" s="5">
        <v>39104</v>
      </c>
      <c r="G1629" s="5">
        <v>54789</v>
      </c>
      <c r="H1629" s="4" t="str">
        <f>"sans objet"</f>
        <v>sans objet</v>
      </c>
      <c r="I1629" s="4" t="str">
        <f>""</f>
        <v/>
      </c>
    </row>
    <row r="1630" spans="1:9" x14ac:dyDescent="0.3">
      <c r="A1630" s="1" t="str">
        <f>"45"</f>
        <v>45</v>
      </c>
      <c r="B1630" s="4" t="str">
        <f>"HASLOUIN"</f>
        <v>HASLOUIN</v>
      </c>
      <c r="C1630" s="4">
        <v>314788134</v>
      </c>
      <c r="D1630" s="3" t="s">
        <v>0</v>
      </c>
      <c r="E1630" s="2" t="str">
        <f>"0010001201"</f>
        <v>0010001201</v>
      </c>
      <c r="F1630" s="5">
        <v>39104</v>
      </c>
      <c r="G1630" s="5">
        <v>54789</v>
      </c>
      <c r="H1630" s="4" t="str">
        <f>"sans objet"</f>
        <v>sans objet</v>
      </c>
      <c r="I1630" s="4" t="str">
        <f>""</f>
        <v/>
      </c>
    </row>
    <row r="1631" spans="1:9" x14ac:dyDescent="0.3">
      <c r="A1631" s="1" t="str">
        <f>"45"</f>
        <v>45</v>
      </c>
      <c r="B1631" s="4" t="str">
        <f>"BAUDON CHABOSY RECUPERATION"</f>
        <v>BAUDON CHABOSY RECUPERATION</v>
      </c>
      <c r="C1631" s="4">
        <v>384070819</v>
      </c>
      <c r="D1631" s="3" t="s">
        <v>0</v>
      </c>
      <c r="E1631" s="2" t="str">
        <f>"PR4500018D"</f>
        <v>PR4500018D</v>
      </c>
      <c r="F1631" s="5">
        <v>39981</v>
      </c>
      <c r="G1631" s="5">
        <v>54789</v>
      </c>
      <c r="H1631" s="4" t="str">
        <f>"sans objet"</f>
        <v>sans objet</v>
      </c>
      <c r="I1631" s="4" t="str">
        <f>""</f>
        <v/>
      </c>
    </row>
    <row r="1632" spans="1:9" x14ac:dyDescent="0.3">
      <c r="A1632" s="1" t="str">
        <f>"45"</f>
        <v>45</v>
      </c>
      <c r="B1632" s="4" t="str">
        <f>"BAUDON CHABOSY RECUPERATION"</f>
        <v>BAUDON CHABOSY RECUPERATION</v>
      </c>
      <c r="C1632" s="4">
        <v>384070819</v>
      </c>
      <c r="D1632" s="3" t="s">
        <v>0</v>
      </c>
      <c r="E1632" s="2" t="str">
        <f>"0010000851"</f>
        <v>0010000851</v>
      </c>
      <c r="F1632" s="5">
        <v>39981</v>
      </c>
      <c r="G1632" s="5">
        <v>54789</v>
      </c>
      <c r="H1632" s="4" t="str">
        <f>"sans objet"</f>
        <v>sans objet</v>
      </c>
      <c r="I1632" s="4" t="str">
        <f>""</f>
        <v/>
      </c>
    </row>
    <row r="1633" spans="1:9" x14ac:dyDescent="0.3">
      <c r="A1633" s="1" t="str">
        <f>"45"</f>
        <v>45</v>
      </c>
      <c r="B1633" s="4" t="str">
        <f>"MOOKY AUTO"</f>
        <v>MOOKY AUTO</v>
      </c>
      <c r="C1633" s="4">
        <v>388342594</v>
      </c>
      <c r="D1633" s="3" t="s">
        <v>0</v>
      </c>
      <c r="E1633" s="2" t="str">
        <f>"PR4500015D"</f>
        <v>PR4500015D</v>
      </c>
      <c r="F1633" s="5">
        <v>41582</v>
      </c>
      <c r="G1633" s="5">
        <v>54789</v>
      </c>
      <c r="H1633" s="4" t="str">
        <f>"sans objet"</f>
        <v>sans objet</v>
      </c>
      <c r="I1633" s="4" t="str">
        <f>""</f>
        <v/>
      </c>
    </row>
    <row r="1634" spans="1:9" x14ac:dyDescent="0.3">
      <c r="A1634" s="1" t="str">
        <f>"45"</f>
        <v>45</v>
      </c>
      <c r="B1634" s="4" t="str">
        <f>"MOOKY AUTO"</f>
        <v>MOOKY AUTO</v>
      </c>
      <c r="C1634" s="4">
        <v>388342594</v>
      </c>
      <c r="D1634" s="3" t="s">
        <v>0</v>
      </c>
      <c r="E1634" s="2" t="str">
        <f>"0010005793"</f>
        <v>0010005793</v>
      </c>
      <c r="F1634" s="5">
        <v>41582</v>
      </c>
      <c r="G1634" s="5">
        <v>54789</v>
      </c>
      <c r="H1634" s="4" t="str">
        <f>"sans objet"</f>
        <v>sans objet</v>
      </c>
      <c r="I1634" s="4" t="str">
        <f>""</f>
        <v/>
      </c>
    </row>
    <row r="1635" spans="1:9" x14ac:dyDescent="0.3">
      <c r="A1635" s="1" t="str">
        <f>"45"</f>
        <v>45</v>
      </c>
      <c r="B1635" s="4" t="str">
        <f>"LOIRET RECYCLAGE ENVIRONNEMENT"</f>
        <v>LOIRET RECYCLAGE ENVIRONNEMENT</v>
      </c>
      <c r="C1635" s="4">
        <v>389682691</v>
      </c>
      <c r="D1635" s="3" t="s">
        <v>0</v>
      </c>
      <c r="E1635" s="2" t="str">
        <f>"PR4500016D"</f>
        <v>PR4500016D</v>
      </c>
      <c r="F1635" s="5">
        <v>41942</v>
      </c>
      <c r="G1635" s="5">
        <v>54789</v>
      </c>
      <c r="H1635" s="4" t="str">
        <f>"sans objet"</f>
        <v>sans objet</v>
      </c>
      <c r="I1635" s="4" t="str">
        <f>""</f>
        <v/>
      </c>
    </row>
    <row r="1636" spans="1:9" x14ac:dyDescent="0.3">
      <c r="A1636" s="1" t="str">
        <f>"45"</f>
        <v>45</v>
      </c>
      <c r="B1636" s="4" t="str">
        <f>"LOIRET RECYCLAGE ENVIRONNEMENT"</f>
        <v>LOIRET RECYCLAGE ENVIRONNEMENT</v>
      </c>
      <c r="C1636" s="4">
        <v>389682691</v>
      </c>
      <c r="D1636" s="3" t="s">
        <v>0</v>
      </c>
      <c r="E1636" s="2" t="str">
        <f>"0010000842"</f>
        <v>0010000842</v>
      </c>
      <c r="F1636" s="5">
        <v>41942</v>
      </c>
      <c r="G1636" s="5">
        <v>54789</v>
      </c>
      <c r="H1636" s="4" t="str">
        <f>"sans objet"</f>
        <v>sans objet</v>
      </c>
      <c r="I1636" s="4" t="str">
        <f>""</f>
        <v/>
      </c>
    </row>
    <row r="1637" spans="1:9" x14ac:dyDescent="0.3">
      <c r="A1637" s="1" t="str">
        <f>"45"</f>
        <v>45</v>
      </c>
      <c r="B1637" s="4" t="str">
        <f>"AUTO TILT"</f>
        <v>AUTO TILT</v>
      </c>
      <c r="C1637" s="4">
        <v>398875955</v>
      </c>
      <c r="D1637" s="3" t="s">
        <v>0</v>
      </c>
      <c r="E1637" s="2" t="str">
        <f>"PR4500026D"</f>
        <v>PR4500026D</v>
      </c>
      <c r="F1637" s="5">
        <v>41848</v>
      </c>
      <c r="G1637" s="5">
        <v>54789</v>
      </c>
      <c r="H1637" s="4" t="str">
        <f>"sans objet"</f>
        <v>sans objet</v>
      </c>
      <c r="I1637" s="4" t="str">
        <f>""</f>
        <v/>
      </c>
    </row>
    <row r="1638" spans="1:9" x14ac:dyDescent="0.3">
      <c r="A1638" s="1" t="str">
        <f>"45"</f>
        <v>45</v>
      </c>
      <c r="B1638" s="4" t="str">
        <f>"AUTO TILT"</f>
        <v>AUTO TILT</v>
      </c>
      <c r="C1638" s="4">
        <v>398875955</v>
      </c>
      <c r="D1638" s="3" t="s">
        <v>0</v>
      </c>
      <c r="E1638" s="2" t="str">
        <f>"0010000833"</f>
        <v>0010000833</v>
      </c>
      <c r="F1638" s="5">
        <v>41848</v>
      </c>
      <c r="G1638" s="5">
        <v>54789</v>
      </c>
      <c r="H1638" s="4" t="str">
        <f>"sans objet"</f>
        <v>sans objet</v>
      </c>
      <c r="I1638" s="4" t="str">
        <f>""</f>
        <v/>
      </c>
    </row>
    <row r="1639" spans="1:9" x14ac:dyDescent="0.3">
      <c r="A1639" s="1" t="str">
        <f>"45"</f>
        <v>45</v>
      </c>
      <c r="B1639" s="4" t="str">
        <f>"CASSE AUTO THEVRET"</f>
        <v>CASSE AUTO THEVRET</v>
      </c>
      <c r="C1639" s="4">
        <v>410757819</v>
      </c>
      <c r="D1639" s="3" t="s">
        <v>0</v>
      </c>
      <c r="E1639" s="2" t="str">
        <f>"PR4500022D"</f>
        <v>PR4500022D</v>
      </c>
      <c r="F1639" s="5">
        <v>40501</v>
      </c>
      <c r="G1639" s="5">
        <v>54789</v>
      </c>
      <c r="H1639" s="4" t="str">
        <f>"sans objet"</f>
        <v>sans objet</v>
      </c>
      <c r="I1639" s="4" t="str">
        <f>""</f>
        <v/>
      </c>
    </row>
    <row r="1640" spans="1:9" x14ac:dyDescent="0.3">
      <c r="A1640" s="1" t="str">
        <f>"45"</f>
        <v>45</v>
      </c>
      <c r="B1640" s="4" t="str">
        <f>"CASSE AUTO THEVRET"</f>
        <v>CASSE AUTO THEVRET</v>
      </c>
      <c r="C1640" s="4">
        <v>410757819</v>
      </c>
      <c r="D1640" s="3" t="s">
        <v>0</v>
      </c>
      <c r="E1640" s="2" t="str">
        <f>"0010001265"</f>
        <v>0010001265</v>
      </c>
      <c r="F1640" s="5">
        <v>40501</v>
      </c>
      <c r="G1640" s="5">
        <v>54789</v>
      </c>
      <c r="H1640" s="4" t="str">
        <f>"sans objet"</f>
        <v>sans objet</v>
      </c>
      <c r="I1640" s="4" t="str">
        <f>""</f>
        <v/>
      </c>
    </row>
    <row r="1641" spans="1:9" x14ac:dyDescent="0.3">
      <c r="A1641" s="1" t="str">
        <f>"45"</f>
        <v>45</v>
      </c>
      <c r="B1641" s="4" t="str">
        <f>"FLEURY PIECES AUTO"</f>
        <v>FLEURY PIECES AUTO</v>
      </c>
      <c r="C1641" s="4">
        <v>444215925</v>
      </c>
      <c r="D1641" s="3" t="s">
        <v>0</v>
      </c>
      <c r="E1641" s="2" t="str">
        <f>"PR4500002D"</f>
        <v>PR4500002D</v>
      </c>
      <c r="F1641" s="5">
        <v>41137</v>
      </c>
      <c r="G1641" s="5">
        <v>54789</v>
      </c>
      <c r="H1641" s="4" t="str">
        <f>"sans objet"</f>
        <v>sans objet</v>
      </c>
      <c r="I1641" s="4" t="str">
        <f>""</f>
        <v/>
      </c>
    </row>
    <row r="1642" spans="1:9" x14ac:dyDescent="0.3">
      <c r="A1642" s="1" t="str">
        <f>"45"</f>
        <v>45</v>
      </c>
      <c r="B1642" s="4" t="str">
        <f>"FLEURY PIECES AUTO"</f>
        <v>FLEURY PIECES AUTO</v>
      </c>
      <c r="C1642" s="4">
        <v>444215925</v>
      </c>
      <c r="D1642" s="3" t="s">
        <v>0</v>
      </c>
      <c r="E1642" s="2" t="str">
        <f>"0010001137"</f>
        <v>0010001137</v>
      </c>
      <c r="F1642" s="5">
        <v>41137</v>
      </c>
      <c r="G1642" s="5">
        <v>54789</v>
      </c>
      <c r="H1642" s="4" t="str">
        <f>"sans objet"</f>
        <v>sans objet</v>
      </c>
      <c r="I1642" s="4" t="str">
        <f>""</f>
        <v/>
      </c>
    </row>
    <row r="1643" spans="1:9" x14ac:dyDescent="0.3">
      <c r="A1643" s="1" t="str">
        <f>"45"</f>
        <v>45</v>
      </c>
      <c r="B1643" s="4" t="str">
        <f>"LINDO PIECES AUTO"</f>
        <v>LINDO PIECES AUTO</v>
      </c>
      <c r="C1643" s="4">
        <v>453059354</v>
      </c>
      <c r="D1643" s="3" t="s">
        <v>0</v>
      </c>
      <c r="E1643" s="2" t="str">
        <f>"PR4500012D"</f>
        <v>PR4500012D</v>
      </c>
      <c r="F1643" s="5">
        <v>41359</v>
      </c>
      <c r="G1643" s="5">
        <v>54789</v>
      </c>
      <c r="H1643" s="4" t="str">
        <f>"sans objet"</f>
        <v>sans objet</v>
      </c>
      <c r="I1643" s="4" t="str">
        <f>""</f>
        <v/>
      </c>
    </row>
    <row r="1644" spans="1:9" x14ac:dyDescent="0.3">
      <c r="A1644" s="1" t="str">
        <f>"45"</f>
        <v>45</v>
      </c>
      <c r="B1644" s="4" t="str">
        <f>"LINDO PIECES AUTO"</f>
        <v>LINDO PIECES AUTO</v>
      </c>
      <c r="C1644" s="4">
        <v>453059354</v>
      </c>
      <c r="D1644" s="3" t="s">
        <v>0</v>
      </c>
      <c r="E1644" s="2" t="str">
        <f>"0010006422"</f>
        <v>0010006422</v>
      </c>
      <c r="F1644" s="5">
        <v>41359</v>
      </c>
      <c r="G1644" s="5">
        <v>54789</v>
      </c>
      <c r="H1644" s="4" t="str">
        <f>"sans objet"</f>
        <v>sans objet</v>
      </c>
      <c r="I1644" s="4" t="str">
        <f>""</f>
        <v/>
      </c>
    </row>
    <row r="1645" spans="1:9" x14ac:dyDescent="0.3">
      <c r="A1645" s="1" t="str">
        <f>"45"</f>
        <v>45</v>
      </c>
      <c r="B1645" s="4" t="str">
        <f>"RCS 4X4"</f>
        <v>RCS 4X4</v>
      </c>
      <c r="C1645" s="4">
        <v>510858335</v>
      </c>
      <c r="D1645" s="3" t="s">
        <v>0</v>
      </c>
      <c r="E1645" s="2" t="str">
        <f>"PR4500019D"</f>
        <v>PR4500019D</v>
      </c>
      <c r="F1645" s="5">
        <v>40046</v>
      </c>
      <c r="G1645" s="5">
        <v>54789</v>
      </c>
      <c r="H1645" s="4" t="str">
        <f>"sans objet"</f>
        <v>sans objet</v>
      </c>
      <c r="I1645" s="4" t="str">
        <f>""</f>
        <v/>
      </c>
    </row>
    <row r="1646" spans="1:9" x14ac:dyDescent="0.3">
      <c r="A1646" s="1" t="str">
        <f>"45"</f>
        <v>45</v>
      </c>
      <c r="B1646" s="4" t="str">
        <f>"RCS 4X4"</f>
        <v>RCS 4X4</v>
      </c>
      <c r="C1646" s="4">
        <v>510858335</v>
      </c>
      <c r="D1646" s="3" t="s">
        <v>0</v>
      </c>
      <c r="E1646" s="2" t="str">
        <f>"0010001475"</f>
        <v>0010001475</v>
      </c>
      <c r="F1646" s="5">
        <v>40046</v>
      </c>
      <c r="G1646" s="5">
        <v>54789</v>
      </c>
      <c r="H1646" s="4" t="str">
        <f>"sans objet"</f>
        <v>sans objet</v>
      </c>
      <c r="I1646" s="4" t="str">
        <f>""</f>
        <v/>
      </c>
    </row>
    <row r="1647" spans="1:9" x14ac:dyDescent="0.3">
      <c r="A1647" s="1" t="str">
        <f>"45"</f>
        <v>45</v>
      </c>
      <c r="B1647" s="4" t="str">
        <f>"SRTM"</f>
        <v>SRTM</v>
      </c>
      <c r="C1647" s="4">
        <v>517682233</v>
      </c>
      <c r="D1647" s="3" t="s">
        <v>0</v>
      </c>
      <c r="E1647" s="2" t="str">
        <f>"PR4500027D"</f>
        <v>PR4500027D</v>
      </c>
      <c r="F1647" s="5">
        <v>42037</v>
      </c>
      <c r="G1647" s="5">
        <v>54789</v>
      </c>
      <c r="H1647" s="4" t="str">
        <f>"sans objet"</f>
        <v>sans objet</v>
      </c>
      <c r="I1647" s="4" t="str">
        <f>""</f>
        <v/>
      </c>
    </row>
    <row r="1648" spans="1:9" x14ac:dyDescent="0.3">
      <c r="A1648" s="1" t="str">
        <f>"45"</f>
        <v>45</v>
      </c>
      <c r="B1648" s="4" t="str">
        <f>"SRTM"</f>
        <v>SRTM</v>
      </c>
      <c r="C1648" s="4">
        <v>517682233</v>
      </c>
      <c r="D1648" s="3" t="s">
        <v>0</v>
      </c>
      <c r="E1648" s="2" t="str">
        <f>"0010012201"</f>
        <v>0010012201</v>
      </c>
      <c r="F1648" s="5">
        <v>42037</v>
      </c>
      <c r="G1648" s="5">
        <v>54789</v>
      </c>
      <c r="H1648" s="4" t="str">
        <f>"sans objet"</f>
        <v>sans objet</v>
      </c>
      <c r="I1648" s="4" t="str">
        <f>""</f>
        <v/>
      </c>
    </row>
    <row r="1649" spans="1:9" x14ac:dyDescent="0.3">
      <c r="A1649" s="1" t="str">
        <f>"45"</f>
        <v>45</v>
      </c>
      <c r="B1649" s="4" t="str">
        <f>"REVIVAL"</f>
        <v>REVIVAL</v>
      </c>
      <c r="C1649" s="4">
        <v>616620092</v>
      </c>
      <c r="D1649" s="3" t="s">
        <v>0</v>
      </c>
      <c r="E1649" s="2" t="str">
        <f>"PR4500033D"</f>
        <v>PR4500033D</v>
      </c>
      <c r="F1649" s="5">
        <v>43669</v>
      </c>
      <c r="G1649" s="5">
        <v>54789</v>
      </c>
      <c r="H1649" s="4" t="str">
        <f>"sans objet"</f>
        <v>sans objet</v>
      </c>
      <c r="I1649" s="4" t="str">
        <f>""</f>
        <v/>
      </c>
    </row>
    <row r="1650" spans="1:9" x14ac:dyDescent="0.3">
      <c r="A1650" s="1" t="str">
        <f>"45"</f>
        <v>45</v>
      </c>
      <c r="B1650" s="4" t="str">
        <f>"REVIVAL"</f>
        <v>REVIVAL</v>
      </c>
      <c r="C1650" s="4">
        <v>616620092</v>
      </c>
      <c r="D1650" s="3" t="s">
        <v>0</v>
      </c>
      <c r="E1650" s="2" t="str">
        <f>"0010004080"</f>
        <v>0010004080</v>
      </c>
      <c r="F1650" s="5">
        <v>43669</v>
      </c>
      <c r="G1650" s="5">
        <v>54789</v>
      </c>
      <c r="H1650" s="4" t="str">
        <f>"sans objet"</f>
        <v>sans objet</v>
      </c>
      <c r="I1650" s="4" t="str">
        <f>""</f>
        <v/>
      </c>
    </row>
    <row r="1651" spans="1:9" x14ac:dyDescent="0.3">
      <c r="A1651" s="1" t="str">
        <f>"45"</f>
        <v>45</v>
      </c>
      <c r="B1651" s="4" t="str">
        <f>"REVIVAL"</f>
        <v>REVIVAL</v>
      </c>
      <c r="C1651" s="4">
        <v>616620092</v>
      </c>
      <c r="D1651" s="3" t="s">
        <v>0</v>
      </c>
      <c r="E1651" s="2" t="str">
        <f>"PR4500034D"</f>
        <v>PR4500034D</v>
      </c>
      <c r="F1651" s="5">
        <v>43658</v>
      </c>
      <c r="G1651" s="5">
        <v>54789</v>
      </c>
      <c r="H1651" s="4" t="str">
        <f>"sans objet"</f>
        <v>sans objet</v>
      </c>
      <c r="I1651" s="4" t="str">
        <f>""</f>
        <v/>
      </c>
    </row>
    <row r="1652" spans="1:9" x14ac:dyDescent="0.3">
      <c r="A1652" s="1" t="str">
        <f>"45"</f>
        <v>45</v>
      </c>
      <c r="B1652" s="4" t="str">
        <f>"REVIVAL"</f>
        <v>REVIVAL</v>
      </c>
      <c r="C1652" s="4">
        <v>616620092</v>
      </c>
      <c r="D1652" s="3" t="s">
        <v>0</v>
      </c>
      <c r="E1652" s="2" t="str">
        <f>"0010000957"</f>
        <v>0010000957</v>
      </c>
      <c r="F1652" s="5">
        <v>43658</v>
      </c>
      <c r="G1652" s="5">
        <v>54789</v>
      </c>
      <c r="H1652" s="4" t="str">
        <f>"sans objet"</f>
        <v>sans objet</v>
      </c>
      <c r="I1652" s="4" t="str">
        <f>""</f>
        <v/>
      </c>
    </row>
    <row r="1653" spans="1:9" x14ac:dyDescent="0.3">
      <c r="A1653" s="1" t="str">
        <f>"45"</f>
        <v>45</v>
      </c>
      <c r="B1653" s="4" t="str">
        <f>"REVIVAL"</f>
        <v>REVIVAL</v>
      </c>
      <c r="C1653" s="4">
        <v>616620092</v>
      </c>
      <c r="D1653" s="3" t="s">
        <v>0</v>
      </c>
      <c r="E1653" s="2" t="str">
        <f>"PR4500035D"</f>
        <v>PR4500035D</v>
      </c>
      <c r="F1653" s="5">
        <v>43658</v>
      </c>
      <c r="G1653" s="5">
        <v>54789</v>
      </c>
      <c r="H1653" s="4" t="str">
        <f>"sans objet"</f>
        <v>sans objet</v>
      </c>
      <c r="I1653" s="4" t="str">
        <f>""</f>
        <v/>
      </c>
    </row>
    <row r="1654" spans="1:9" x14ac:dyDescent="0.3">
      <c r="A1654" s="1" t="str">
        <f>"45"</f>
        <v>45</v>
      </c>
      <c r="B1654" s="4" t="str">
        <f>"REVIVAL"</f>
        <v>REVIVAL</v>
      </c>
      <c r="C1654" s="4">
        <v>616620092</v>
      </c>
      <c r="D1654" s="3" t="s">
        <v>0</v>
      </c>
      <c r="E1654" s="2" t="str">
        <f>"0010004583"</f>
        <v>0010004583</v>
      </c>
      <c r="F1654" s="5">
        <v>43658</v>
      </c>
      <c r="G1654" s="5">
        <v>54789</v>
      </c>
      <c r="H1654" s="4" t="str">
        <f>"sans objet"</f>
        <v>sans objet</v>
      </c>
      <c r="I1654" s="4" t="str">
        <f>""</f>
        <v/>
      </c>
    </row>
    <row r="1655" spans="1:9" x14ac:dyDescent="0.3">
      <c r="A1655" s="1" t="str">
        <f>"45"</f>
        <v>45</v>
      </c>
      <c r="B1655" s="4" t="str">
        <f>"CELLIER DEPANNAGES"</f>
        <v>CELLIER DEPANNAGES</v>
      </c>
      <c r="C1655" s="4">
        <v>750309130</v>
      </c>
      <c r="D1655" s="3" t="s">
        <v>0</v>
      </c>
      <c r="E1655" s="2" t="str">
        <f>"PR4500009D"</f>
        <v>PR4500009D</v>
      </c>
      <c r="F1655" s="5">
        <v>39052</v>
      </c>
      <c r="G1655" s="5">
        <v>54789</v>
      </c>
      <c r="H1655" s="4" t="str">
        <f>"sans objet"</f>
        <v>sans objet</v>
      </c>
      <c r="I1655" s="4" t="str">
        <f>""</f>
        <v/>
      </c>
    </row>
    <row r="1656" spans="1:9" x14ac:dyDescent="0.3">
      <c r="A1656" s="1" t="str">
        <f>"45"</f>
        <v>45</v>
      </c>
      <c r="B1656" s="4" t="str">
        <f>"CELLIER DEPANNAGES"</f>
        <v>CELLIER DEPANNAGES</v>
      </c>
      <c r="C1656" s="4">
        <v>750309130</v>
      </c>
      <c r="D1656" s="3" t="s">
        <v>0</v>
      </c>
      <c r="E1656" s="2" t="str">
        <f>"0010001406"</f>
        <v>0010001406</v>
      </c>
      <c r="F1656" s="5">
        <v>39052</v>
      </c>
      <c r="G1656" s="5">
        <v>54789</v>
      </c>
      <c r="H1656" s="4" t="str">
        <f>"sans objet"</f>
        <v>sans objet</v>
      </c>
      <c r="I1656" s="4" t="str">
        <f>""</f>
        <v/>
      </c>
    </row>
    <row r="1657" spans="1:9" x14ac:dyDescent="0.3">
      <c r="A1657" s="1" t="str">
        <f>"45"</f>
        <v>45</v>
      </c>
      <c r="B1657" s="4" t="str">
        <f>"ETS J. MENUT"</f>
        <v>ETS J. MENUT</v>
      </c>
      <c r="C1657" s="4">
        <v>781620059</v>
      </c>
      <c r="D1657" s="3" t="s">
        <v>0</v>
      </c>
      <c r="E1657" s="2" t="str">
        <f>"PR4500036D"</f>
        <v>PR4500036D</v>
      </c>
      <c r="F1657" s="5">
        <v>43881</v>
      </c>
      <c r="G1657" s="5">
        <v>54789</v>
      </c>
      <c r="H1657" s="4" t="str">
        <f>"sans objet"</f>
        <v>sans objet</v>
      </c>
      <c r="I1657" s="4" t="str">
        <f>""</f>
        <v/>
      </c>
    </row>
    <row r="1658" spans="1:9" x14ac:dyDescent="0.3">
      <c r="A1658" s="1" t="str">
        <f>"45"</f>
        <v>45</v>
      </c>
      <c r="B1658" s="4" t="str">
        <f>"ETS J. MENUT"</f>
        <v>ETS J. MENUT</v>
      </c>
      <c r="C1658" s="4">
        <v>781620059</v>
      </c>
      <c r="D1658" s="3" t="s">
        <v>0</v>
      </c>
      <c r="E1658" s="2" t="str">
        <f>"0010013936"</f>
        <v>0010013936</v>
      </c>
      <c r="F1658" s="5">
        <v>43881</v>
      </c>
      <c r="G1658" s="5">
        <v>54789</v>
      </c>
      <c r="H1658" s="4" t="str">
        <f>"sans objet"</f>
        <v>sans objet</v>
      </c>
      <c r="I1658" s="4" t="str">
        <f>""</f>
        <v/>
      </c>
    </row>
    <row r="1659" spans="1:9" x14ac:dyDescent="0.3">
      <c r="A1659" s="1" t="str">
        <f>"45"</f>
        <v>45</v>
      </c>
      <c r="B1659" s="4" t="str">
        <f>"LAMBERT"</f>
        <v>LAMBERT</v>
      </c>
      <c r="C1659" s="4">
        <v>799678958</v>
      </c>
      <c r="D1659" s="3" t="s">
        <v>0</v>
      </c>
      <c r="E1659" s="2" t="str">
        <f>"PR4500010D"</f>
        <v>PR4500010D</v>
      </c>
      <c r="F1659" s="5">
        <v>41163</v>
      </c>
      <c r="G1659" s="5">
        <v>54789</v>
      </c>
      <c r="H1659" s="4" t="str">
        <f>"sans objet"</f>
        <v>sans objet</v>
      </c>
      <c r="I1659" s="4" t="str">
        <f>""</f>
        <v/>
      </c>
    </row>
    <row r="1660" spans="1:9" x14ac:dyDescent="0.3">
      <c r="A1660" s="1" t="str">
        <f>"45"</f>
        <v>45</v>
      </c>
      <c r="B1660" s="4" t="str">
        <f>"LAMBERT"</f>
        <v>LAMBERT</v>
      </c>
      <c r="C1660" s="4">
        <v>799678958</v>
      </c>
      <c r="D1660" s="3" t="s">
        <v>0</v>
      </c>
      <c r="E1660" s="2" t="str">
        <f>"0010001269"</f>
        <v>0010001269</v>
      </c>
      <c r="F1660" s="5">
        <v>41163</v>
      </c>
      <c r="G1660" s="5">
        <v>54789</v>
      </c>
      <c r="H1660" s="4" t="str">
        <f>"sans objet"</f>
        <v>sans objet</v>
      </c>
      <c r="I1660" s="4" t="str">
        <f>""</f>
        <v/>
      </c>
    </row>
    <row r="1661" spans="1:9" x14ac:dyDescent="0.3">
      <c r="A1661" s="1" t="str">
        <f>"45"</f>
        <v>45</v>
      </c>
      <c r="B1661" s="4" t="str">
        <f>"LA RETROSPECTIVE ¿ CACH AUTO"</f>
        <v>LA RETROSPECTIVE ¿ CACH AUTO</v>
      </c>
      <c r="C1661" s="4">
        <v>800011942</v>
      </c>
      <c r="D1661" s="3" t="s">
        <v>0</v>
      </c>
      <c r="E1661" s="2" t="str">
        <f>"PR4500025D"</f>
        <v>PR4500025D</v>
      </c>
      <c r="F1661" s="5">
        <v>43980</v>
      </c>
      <c r="G1661" s="5">
        <v>54789</v>
      </c>
      <c r="H1661" s="4" t="str">
        <f>"sans objet"</f>
        <v>sans objet</v>
      </c>
      <c r="I1661" s="4" t="str">
        <f>""</f>
        <v/>
      </c>
    </row>
    <row r="1662" spans="1:9" x14ac:dyDescent="0.3">
      <c r="A1662" s="1" t="str">
        <f>"45"</f>
        <v>45</v>
      </c>
      <c r="B1662" s="4" t="str">
        <f>"LA RETROSPECTIVE ¿ CACH AUTO"</f>
        <v>LA RETROSPECTIVE ¿ CACH AUTO</v>
      </c>
      <c r="C1662" s="4">
        <v>800011942</v>
      </c>
      <c r="D1662" s="3" t="s">
        <v>0</v>
      </c>
      <c r="E1662" s="2" t="str">
        <f>"0010001194"</f>
        <v>0010001194</v>
      </c>
      <c r="F1662" s="5">
        <v>43980</v>
      </c>
      <c r="G1662" s="5">
        <v>54789</v>
      </c>
      <c r="H1662" s="4" t="str">
        <f>"sans objet"</f>
        <v>sans objet</v>
      </c>
      <c r="I1662" s="4" t="str">
        <f>""</f>
        <v/>
      </c>
    </row>
    <row r="1663" spans="1:9" x14ac:dyDescent="0.3">
      <c r="A1663" s="1" t="str">
        <f>"45"</f>
        <v>45</v>
      </c>
      <c r="B1663" s="4" t="str">
        <f>"CASSE DE LA PUISAYE"</f>
        <v>CASSE DE LA PUISAYE</v>
      </c>
      <c r="C1663" s="4">
        <v>813561321</v>
      </c>
      <c r="D1663" s="3" t="s">
        <v>0</v>
      </c>
      <c r="E1663" s="2" t="str">
        <f>"PR4500038D"</f>
        <v>PR4500038D</v>
      </c>
      <c r="F1663" s="5">
        <v>44706</v>
      </c>
      <c r="G1663" s="5">
        <v>54789</v>
      </c>
      <c r="H1663" s="4" t="str">
        <f>"sans objet"</f>
        <v>sans objet</v>
      </c>
      <c r="I1663" s="4" t="str">
        <f>""</f>
        <v/>
      </c>
    </row>
    <row r="1664" spans="1:9" x14ac:dyDescent="0.3">
      <c r="A1664" s="1" t="str">
        <f>"45"</f>
        <v>45</v>
      </c>
      <c r="B1664" s="4" t="str">
        <f>"CASSE DE LA PUISAYE"</f>
        <v>CASSE DE LA PUISAYE</v>
      </c>
      <c r="C1664" s="4">
        <v>813561321</v>
      </c>
      <c r="D1664" s="3" t="s">
        <v>0</v>
      </c>
      <c r="E1664" s="2" t="str">
        <f>"0010008681"</f>
        <v>0010008681</v>
      </c>
      <c r="F1664" s="5">
        <v>44706</v>
      </c>
      <c r="G1664" s="5">
        <v>54789</v>
      </c>
      <c r="H1664" s="4" t="str">
        <f>"sans objet"</f>
        <v>sans objet</v>
      </c>
      <c r="I1664" s="4" t="str">
        <f>""</f>
        <v/>
      </c>
    </row>
    <row r="1665" spans="1:9" x14ac:dyDescent="0.3">
      <c r="A1665" s="1" t="str">
        <f>"45"</f>
        <v>45</v>
      </c>
      <c r="B1665" s="4" t="str">
        <f>"SARL BRIAND"</f>
        <v>SARL BRIAND</v>
      </c>
      <c r="C1665" s="4">
        <v>830052528</v>
      </c>
      <c r="D1665" s="3" t="s">
        <v>0</v>
      </c>
      <c r="E1665" s="2" t="str">
        <f>"PR4500040D"</f>
        <v>PR4500040D</v>
      </c>
      <c r="F1665" s="5">
        <v>45433</v>
      </c>
      <c r="G1665" s="5">
        <v>54789</v>
      </c>
      <c r="H1665" s="4" t="str">
        <f>"sans objet"</f>
        <v>sans objet</v>
      </c>
      <c r="I1665" s="4" t="str">
        <f>""</f>
        <v/>
      </c>
    </row>
    <row r="1666" spans="1:9" x14ac:dyDescent="0.3">
      <c r="A1666" s="1" t="str">
        <f>"45"</f>
        <v>45</v>
      </c>
      <c r="B1666" s="4" t="str">
        <f>"SARL BRIAND"</f>
        <v>SARL BRIAND</v>
      </c>
      <c r="C1666" s="4">
        <v>830052528</v>
      </c>
      <c r="D1666" s="3" t="s">
        <v>0</v>
      </c>
      <c r="E1666" s="2" t="str">
        <f>"0010014442"</f>
        <v>0010014442</v>
      </c>
      <c r="F1666" s="5">
        <v>45433</v>
      </c>
      <c r="G1666" s="5">
        <v>54789</v>
      </c>
      <c r="H1666" s="4" t="str">
        <f>"sans objet"</f>
        <v>sans objet</v>
      </c>
      <c r="I1666" s="4" t="str">
        <f>""</f>
        <v/>
      </c>
    </row>
    <row r="1667" spans="1:9" x14ac:dyDescent="0.3">
      <c r="A1667" s="1" t="str">
        <f>"45"</f>
        <v>45</v>
      </c>
      <c r="B1667" s="4" t="str">
        <f>"LION AUTO CASSE"</f>
        <v>LION AUTO CASSE</v>
      </c>
      <c r="C1667" s="4">
        <v>830531026</v>
      </c>
      <c r="D1667" s="3" t="s">
        <v>0</v>
      </c>
      <c r="E1667" s="2" t="str">
        <f>"PR4500029D"</f>
        <v>PR4500029D</v>
      </c>
      <c r="F1667" s="5">
        <v>43116</v>
      </c>
      <c r="G1667" s="5">
        <v>54789</v>
      </c>
      <c r="H1667" s="4" t="str">
        <f>"sans objet"</f>
        <v>sans objet</v>
      </c>
      <c r="I1667" s="4" t="str">
        <f>""</f>
        <v/>
      </c>
    </row>
    <row r="1668" spans="1:9" x14ac:dyDescent="0.3">
      <c r="A1668" s="1" t="str">
        <f>"45"</f>
        <v>45</v>
      </c>
      <c r="B1668" s="4" t="str">
        <f>"LION AUTO CASSE"</f>
        <v>LION AUTO CASSE</v>
      </c>
      <c r="C1668" s="4">
        <v>830531026</v>
      </c>
      <c r="D1668" s="3" t="s">
        <v>0</v>
      </c>
      <c r="E1668" s="2" t="str">
        <f>"0010001298"</f>
        <v>0010001298</v>
      </c>
      <c r="F1668" s="5">
        <v>43116</v>
      </c>
      <c r="G1668" s="5">
        <v>54789</v>
      </c>
      <c r="H1668" s="4" t="str">
        <f>"sans objet"</f>
        <v>sans objet</v>
      </c>
      <c r="I1668" s="4" t="str">
        <f>""</f>
        <v/>
      </c>
    </row>
    <row r="1669" spans="1:9" x14ac:dyDescent="0.3">
      <c r="A1669" s="1" t="str">
        <f>"45"</f>
        <v>45</v>
      </c>
      <c r="B1669" s="4" t="str">
        <f>"FONTENAY PIECES AUTO"</f>
        <v>FONTENAY PIECES AUTO</v>
      </c>
      <c r="C1669" s="4">
        <v>850205865</v>
      </c>
      <c r="D1669" s="3" t="s">
        <v>0</v>
      </c>
      <c r="E1669" s="2" t="str">
        <f>"PR4500037D"</f>
        <v>PR4500037D</v>
      </c>
      <c r="F1669" s="5">
        <v>44670</v>
      </c>
      <c r="G1669" s="5">
        <v>54789</v>
      </c>
      <c r="H1669" s="4" t="str">
        <f>"sans objet"</f>
        <v>sans objet</v>
      </c>
      <c r="I1669" s="4" t="str">
        <f>""</f>
        <v/>
      </c>
    </row>
    <row r="1670" spans="1:9" x14ac:dyDescent="0.3">
      <c r="A1670" s="1" t="str">
        <f>"45"</f>
        <v>45</v>
      </c>
      <c r="B1670" s="4" t="str">
        <f>"FONTENAY PIECES AUTO"</f>
        <v>FONTENAY PIECES AUTO</v>
      </c>
      <c r="C1670" s="4">
        <v>850205865</v>
      </c>
      <c r="D1670" s="3" t="s">
        <v>0</v>
      </c>
      <c r="E1670" s="2" t="str">
        <f>"0010014696"</f>
        <v>0010014696</v>
      </c>
      <c r="F1670" s="5">
        <v>44670</v>
      </c>
      <c r="G1670" s="5">
        <v>54789</v>
      </c>
      <c r="H1670" s="4" t="str">
        <f>"sans objet"</f>
        <v>sans objet</v>
      </c>
      <c r="I1670" s="4" t="str">
        <f>""</f>
        <v/>
      </c>
    </row>
    <row r="1671" spans="1:9" x14ac:dyDescent="0.3">
      <c r="A1671" s="1" t="str">
        <f>"45"</f>
        <v>45</v>
      </c>
      <c r="B1671" s="4" t="str">
        <f>"ECO CASSE 45"</f>
        <v>ECO CASSE 45</v>
      </c>
      <c r="C1671" s="4">
        <v>917539108</v>
      </c>
      <c r="D1671" s="3" t="s">
        <v>0</v>
      </c>
      <c r="E1671" s="2" t="str">
        <f>"PR4500039D"</f>
        <v>PR4500039D</v>
      </c>
      <c r="F1671" s="5">
        <v>44937</v>
      </c>
      <c r="G1671" s="5">
        <v>54789</v>
      </c>
      <c r="H1671" s="4" t="str">
        <f>"sans objet"</f>
        <v>sans objet</v>
      </c>
      <c r="I1671" s="4" t="str">
        <f>""</f>
        <v/>
      </c>
    </row>
    <row r="1672" spans="1:9" x14ac:dyDescent="0.3">
      <c r="A1672" s="1" t="str">
        <f>"45"</f>
        <v>45</v>
      </c>
      <c r="B1672" s="4" t="str">
        <f>"ECO CASSE 45"</f>
        <v>ECO CASSE 45</v>
      </c>
      <c r="C1672" s="4">
        <v>917539108</v>
      </c>
      <c r="D1672" s="3" t="s">
        <v>0</v>
      </c>
      <c r="E1672" s="2" t="str">
        <f>"0010001167"</f>
        <v>0010001167</v>
      </c>
      <c r="F1672" s="5">
        <v>44937</v>
      </c>
      <c r="G1672" s="5">
        <v>54789</v>
      </c>
      <c r="H1672" s="4" t="str">
        <f>"sans objet"</f>
        <v>sans objet</v>
      </c>
      <c r="I1672" s="4" t="str">
        <f>""</f>
        <v/>
      </c>
    </row>
    <row r="1673" spans="1:9" x14ac:dyDescent="0.3">
      <c r="A1673" s="1" t="str">
        <f>"45"</f>
        <v>45</v>
      </c>
      <c r="B1673" s="4" t="str">
        <f>"CAP AUTO 45"</f>
        <v>CAP AUTO 45</v>
      </c>
      <c r="C1673" s="4">
        <v>930777024</v>
      </c>
      <c r="D1673" s="3" t="s">
        <v>0</v>
      </c>
      <c r="E1673" s="2" t="str">
        <f>"PR4500004D"</f>
        <v>PR4500004D</v>
      </c>
      <c r="F1673" s="5">
        <v>41173</v>
      </c>
      <c r="G1673" s="5">
        <v>54789</v>
      </c>
      <c r="H1673" s="4" t="str">
        <f>"sans objet"</f>
        <v>sans objet</v>
      </c>
      <c r="I1673" s="4" t="str">
        <f>""</f>
        <v/>
      </c>
    </row>
    <row r="1674" spans="1:9" x14ac:dyDescent="0.3">
      <c r="A1674" s="1" t="str">
        <f>"45"</f>
        <v>45</v>
      </c>
      <c r="B1674" s="4" t="str">
        <f>"CAP AUTO 45"</f>
        <v>CAP AUTO 45</v>
      </c>
      <c r="C1674" s="4">
        <v>930777024</v>
      </c>
      <c r="D1674" s="3" t="s">
        <v>0</v>
      </c>
      <c r="E1674" s="2" t="str">
        <f>"0010001406"</f>
        <v>0010001406</v>
      </c>
      <c r="F1674" s="5">
        <v>41173</v>
      </c>
      <c r="G1674" s="5">
        <v>54789</v>
      </c>
      <c r="H1674" s="4" t="str">
        <f>"sans objet"</f>
        <v>sans objet</v>
      </c>
      <c r="I1674" s="4" t="str">
        <f>""</f>
        <v/>
      </c>
    </row>
    <row r="1675" spans="1:9" x14ac:dyDescent="0.3">
      <c r="A1675" s="1" t="str">
        <f>"46"</f>
        <v>46</v>
      </c>
      <c r="B1675" s="4" t="str">
        <f>"AZEMAR Jean"</f>
        <v>AZEMAR Jean</v>
      </c>
      <c r="C1675" s="4">
        <v>327121380</v>
      </c>
      <c r="D1675" s="3" t="s">
        <v>0</v>
      </c>
      <c r="E1675" s="2" t="str">
        <f>"PR4600006D"</f>
        <v>PR4600006D</v>
      </c>
      <c r="F1675" s="5">
        <v>42375</v>
      </c>
      <c r="G1675" s="5">
        <v>54789</v>
      </c>
      <c r="H1675" s="4" t="str">
        <f>""</f>
        <v/>
      </c>
      <c r="I1675" s="4" t="str">
        <f>""</f>
        <v/>
      </c>
    </row>
    <row r="1676" spans="1:9" x14ac:dyDescent="0.3">
      <c r="A1676" s="1" t="str">
        <f>"46"</f>
        <v>46</v>
      </c>
      <c r="B1676" s="4" t="str">
        <f>"AZEMAR Jean"</f>
        <v>AZEMAR Jean</v>
      </c>
      <c r="C1676" s="4">
        <v>327121380</v>
      </c>
      <c r="D1676" s="3" t="s">
        <v>0</v>
      </c>
      <c r="E1676" s="2" t="str">
        <f>"0006804430"</f>
        <v>0006804430</v>
      </c>
      <c r="F1676" s="5">
        <v>42375</v>
      </c>
      <c r="G1676" s="5">
        <v>54789</v>
      </c>
      <c r="H1676" s="4" t="str">
        <f>""</f>
        <v/>
      </c>
      <c r="I1676" s="4" t="str">
        <f>""</f>
        <v/>
      </c>
    </row>
    <row r="1677" spans="1:9" x14ac:dyDescent="0.3">
      <c r="A1677" s="1" t="str">
        <f>"46"</f>
        <v>46</v>
      </c>
      <c r="B1677" s="4" t="str">
        <f>"Récupération Services Auto ROCHIS"</f>
        <v>Récupération Services Auto ROCHIS</v>
      </c>
      <c r="C1677" s="4">
        <v>415294842</v>
      </c>
      <c r="D1677" s="3" t="s">
        <v>0</v>
      </c>
      <c r="E1677" s="2" t="str">
        <f>"PR4600003D"</f>
        <v>PR4600003D</v>
      </c>
      <c r="F1677" s="5">
        <v>43915</v>
      </c>
      <c r="G1677" s="5">
        <v>54789</v>
      </c>
      <c r="H1677" s="4" t="str">
        <f>""</f>
        <v/>
      </c>
      <c r="I1677" s="4" t="str">
        <f>""</f>
        <v/>
      </c>
    </row>
    <row r="1678" spans="1:9" x14ac:dyDescent="0.3">
      <c r="A1678" s="1" t="str">
        <f>"46"</f>
        <v>46</v>
      </c>
      <c r="B1678" s="4" t="str">
        <f>"Récupération Services Auto ROCHIS"</f>
        <v>Récupération Services Auto ROCHIS</v>
      </c>
      <c r="C1678" s="4">
        <v>415294842</v>
      </c>
      <c r="D1678" s="3" t="s">
        <v>0</v>
      </c>
      <c r="E1678" s="2" t="str">
        <f>"0006804784"</f>
        <v>0006804784</v>
      </c>
      <c r="F1678" s="5">
        <v>43915</v>
      </c>
      <c r="G1678" s="5">
        <v>54789</v>
      </c>
      <c r="H1678" s="4" t="str">
        <f>""</f>
        <v/>
      </c>
      <c r="I1678" s="4" t="str">
        <f>""</f>
        <v/>
      </c>
    </row>
    <row r="1679" spans="1:9" x14ac:dyDescent="0.3">
      <c r="A1679" s="1" t="str">
        <f>"46"</f>
        <v>46</v>
      </c>
      <c r="B1679" s="4" t="str">
        <f>"HUGONENC NÉGOCE Sarl"</f>
        <v>HUGONENC NÉGOCE Sarl</v>
      </c>
      <c r="C1679" s="4">
        <v>450987987</v>
      </c>
      <c r="D1679" s="3" t="s">
        <v>0</v>
      </c>
      <c r="E1679" s="2" t="str">
        <f>"PR4600007D"</f>
        <v>PR4600007D</v>
      </c>
      <c r="F1679" s="5">
        <v>43026</v>
      </c>
      <c r="G1679" s="5">
        <v>54789</v>
      </c>
      <c r="H1679" s="4" t="str">
        <f>""</f>
        <v/>
      </c>
      <c r="I1679" s="4" t="str">
        <f>""</f>
        <v/>
      </c>
    </row>
    <row r="1680" spans="1:9" x14ac:dyDescent="0.3">
      <c r="A1680" s="1" t="str">
        <f>"46"</f>
        <v>46</v>
      </c>
      <c r="B1680" s="4" t="str">
        <f>"HUGONENC NÉGOCE Sarl"</f>
        <v>HUGONENC NÉGOCE Sarl</v>
      </c>
      <c r="C1680" s="4">
        <v>450987987</v>
      </c>
      <c r="D1680" s="3" t="s">
        <v>0</v>
      </c>
      <c r="E1680" s="2" t="str">
        <f>"0006806535"</f>
        <v>0006806535</v>
      </c>
      <c r="F1680" s="5">
        <v>43026</v>
      </c>
      <c r="G1680" s="5">
        <v>54789</v>
      </c>
      <c r="H1680" s="4" t="str">
        <f>""</f>
        <v/>
      </c>
      <c r="I1680" s="4" t="str">
        <f>""</f>
        <v/>
      </c>
    </row>
    <row r="1681" spans="1:9" x14ac:dyDescent="0.3">
      <c r="A1681" s="1" t="str">
        <f>"47"</f>
        <v>47</v>
      </c>
      <c r="B1681" s="4" t="str">
        <f>"BRANGE ENVIRONNEMENT"</f>
        <v>BRANGE ENVIRONNEMENT</v>
      </c>
      <c r="C1681" s="4">
        <v>301011805</v>
      </c>
      <c r="D1681" s="3" t="s">
        <v>0</v>
      </c>
      <c r="E1681" s="2" t="str">
        <f>"0005202067"</f>
        <v>0005202067</v>
      </c>
      <c r="F1681" s="5">
        <v>43747</v>
      </c>
      <c r="G1681" s="5">
        <v>54789</v>
      </c>
      <c r="H1681" s="4" t="str">
        <f>""</f>
        <v/>
      </c>
      <c r="I1681" s="4" t="str">
        <f>""</f>
        <v/>
      </c>
    </row>
    <row r="1682" spans="1:9" x14ac:dyDescent="0.3">
      <c r="A1682" s="1" t="str">
        <f>"47"</f>
        <v>47</v>
      </c>
      <c r="B1682" s="4" t="str">
        <f>"BRANGE ENVIRONNEMENT"</f>
        <v>BRANGE ENVIRONNEMENT</v>
      </c>
      <c r="C1682" s="4">
        <v>301011805</v>
      </c>
      <c r="D1682" s="3" t="s">
        <v>0</v>
      </c>
      <c r="E1682" s="2" t="str">
        <f>"PR4700009D"</f>
        <v>PR4700009D</v>
      </c>
      <c r="F1682" s="5">
        <v>41556</v>
      </c>
      <c r="G1682" s="5">
        <v>54789</v>
      </c>
      <c r="H1682" s="4" t="str">
        <f>""</f>
        <v/>
      </c>
      <c r="I1682" s="4" t="str">
        <f>""</f>
        <v/>
      </c>
    </row>
    <row r="1683" spans="1:9" x14ac:dyDescent="0.3">
      <c r="A1683" s="1" t="str">
        <f>"47"</f>
        <v>47</v>
      </c>
      <c r="B1683" s="4" t="str">
        <f>"ALIAREC ENVIRONNEMENT"</f>
        <v>ALIAREC ENVIRONNEMENT</v>
      </c>
      <c r="C1683" s="4">
        <v>320880586</v>
      </c>
      <c r="D1683" s="3" t="s">
        <v>0</v>
      </c>
      <c r="E1683" s="2" t="str">
        <f>"0005207396"</f>
        <v>0005207396</v>
      </c>
      <c r="F1683" s="5">
        <v>43494</v>
      </c>
      <c r="G1683" s="5">
        <v>54789</v>
      </c>
      <c r="H1683" s="4" t="str">
        <f>""</f>
        <v/>
      </c>
      <c r="I1683" s="4" t="str">
        <f>""</f>
        <v/>
      </c>
    </row>
    <row r="1684" spans="1:9" x14ac:dyDescent="0.3">
      <c r="A1684" s="1" t="str">
        <f>"47"</f>
        <v>47</v>
      </c>
      <c r="B1684" s="4" t="str">
        <f>"ALIAREC ENVIRONNEMENT"</f>
        <v>ALIAREC ENVIRONNEMENT</v>
      </c>
      <c r="C1684" s="4">
        <v>320880586</v>
      </c>
      <c r="D1684" s="3" t="s">
        <v>0</v>
      </c>
      <c r="E1684" s="2" t="str">
        <f>"PR4700006D"</f>
        <v>PR4700006D</v>
      </c>
      <c r="F1684" s="5">
        <v>41301</v>
      </c>
      <c r="G1684" s="5">
        <v>54789</v>
      </c>
      <c r="H1684" s="4" t="str">
        <f>""</f>
        <v/>
      </c>
      <c r="I1684" s="4" t="str">
        <f>""</f>
        <v/>
      </c>
    </row>
    <row r="1685" spans="1:9" x14ac:dyDescent="0.3">
      <c r="A1685" s="1" t="str">
        <f>"47"</f>
        <v>47</v>
      </c>
      <c r="B1685" s="4" t="str">
        <f>"LGA SAS"</f>
        <v>LGA SAS</v>
      </c>
      <c r="C1685" s="4">
        <v>349652339</v>
      </c>
      <c r="D1685" s="3" t="s">
        <v>0</v>
      </c>
      <c r="E1685" s="2" t="str">
        <f>"PR4700002D"</f>
        <v>PR4700002D</v>
      </c>
      <c r="F1685" s="5">
        <v>38995</v>
      </c>
      <c r="G1685" s="5">
        <v>54789</v>
      </c>
      <c r="H1685" s="4" t="str">
        <f>""</f>
        <v/>
      </c>
      <c r="I1685" s="4" t="str">
        <f>""</f>
        <v/>
      </c>
    </row>
    <row r="1686" spans="1:9" x14ac:dyDescent="0.3">
      <c r="A1686" s="1" t="str">
        <f>"47"</f>
        <v>47</v>
      </c>
      <c r="B1686" s="4" t="str">
        <f>"GROUPE LGA"</f>
        <v>GROUPE LGA</v>
      </c>
      <c r="C1686" s="4">
        <v>349652339</v>
      </c>
      <c r="D1686" s="3" t="s">
        <v>0</v>
      </c>
      <c r="E1686" s="2" t="str">
        <f>"0005205550"</f>
        <v>0005205550</v>
      </c>
      <c r="F1686" s="5">
        <v>43371</v>
      </c>
      <c r="G1686" s="5">
        <v>54789</v>
      </c>
      <c r="H1686" s="4" t="str">
        <f>""</f>
        <v/>
      </c>
      <c r="I1686" s="4" t="str">
        <f>""</f>
        <v/>
      </c>
    </row>
    <row r="1687" spans="1:9" x14ac:dyDescent="0.3">
      <c r="A1687" s="1" t="str">
        <f>"47"</f>
        <v>47</v>
      </c>
      <c r="B1687" s="4" t="str">
        <f>"AFM RECYCLAGE"</f>
        <v>AFM RECYCLAGE</v>
      </c>
      <c r="C1687" s="4">
        <v>383482635</v>
      </c>
      <c r="D1687" s="3" t="s">
        <v>0</v>
      </c>
      <c r="E1687" s="2" t="str">
        <f>"0005205594"</f>
        <v>0005205594</v>
      </c>
      <c r="F1687" s="5">
        <v>43371</v>
      </c>
      <c r="G1687" s="5">
        <v>54789</v>
      </c>
      <c r="H1687" s="4" t="str">
        <f>""</f>
        <v/>
      </c>
      <c r="I1687" s="4" t="str">
        <f>""</f>
        <v/>
      </c>
    </row>
    <row r="1688" spans="1:9" x14ac:dyDescent="0.3">
      <c r="A1688" s="1" t="str">
        <f>"47"</f>
        <v>47</v>
      </c>
      <c r="B1688" s="4" t="str">
        <f>"AFM RECYCLAGE"</f>
        <v>AFM RECYCLAGE</v>
      </c>
      <c r="C1688" s="4">
        <v>383482635</v>
      </c>
      <c r="D1688" s="3" t="s">
        <v>0</v>
      </c>
      <c r="E1688" s="2" t="str">
        <f>"PR4700001D"</f>
        <v>PR4700001D</v>
      </c>
      <c r="F1688" s="5">
        <v>41193</v>
      </c>
      <c r="G1688" s="5">
        <v>54789</v>
      </c>
      <c r="H1688" s="4" t="str">
        <f>""</f>
        <v/>
      </c>
      <c r="I1688" s="4" t="str">
        <f>""</f>
        <v/>
      </c>
    </row>
    <row r="1689" spans="1:9" x14ac:dyDescent="0.3">
      <c r="A1689" s="1" t="str">
        <f>"47"</f>
        <v>47</v>
      </c>
      <c r="B1689" s="4" t="str">
        <f>"GARAGE INTERNATIONAL HERNANDEZ"</f>
        <v>GARAGE INTERNATIONAL HERNANDEZ</v>
      </c>
      <c r="C1689" s="4">
        <v>402608418</v>
      </c>
      <c r="D1689" s="3" t="s">
        <v>0</v>
      </c>
      <c r="E1689" s="2" t="str">
        <f>"PR3100007D"</f>
        <v>PR3100007D</v>
      </c>
      <c r="F1689" s="5">
        <v>43539</v>
      </c>
      <c r="G1689" s="5">
        <v>54789</v>
      </c>
      <c r="H1689" s="4" t="str">
        <f>""</f>
        <v/>
      </c>
      <c r="I1689" s="4" t="str">
        <f>""</f>
        <v/>
      </c>
    </row>
    <row r="1690" spans="1:9" x14ac:dyDescent="0.3">
      <c r="A1690" s="1" t="str">
        <f>"47"</f>
        <v>47</v>
      </c>
      <c r="B1690" s="4" t="str">
        <f>"DECONS SA"</f>
        <v>DECONS SA</v>
      </c>
      <c r="C1690" s="4">
        <v>402713119</v>
      </c>
      <c r="D1690" s="3" t="s">
        <v>0</v>
      </c>
      <c r="E1690" s="2" t="str">
        <f>"PR4700003D"</f>
        <v>PR4700003D</v>
      </c>
      <c r="F1690" s="5">
        <v>38995</v>
      </c>
      <c r="G1690" s="5">
        <v>54789</v>
      </c>
      <c r="H1690" s="4" t="str">
        <f>""</f>
        <v/>
      </c>
      <c r="I1690" s="4" t="str">
        <f>""</f>
        <v/>
      </c>
    </row>
    <row r="1691" spans="1:9" x14ac:dyDescent="0.3">
      <c r="A1691" s="1" t="str">
        <f>"47"</f>
        <v>47</v>
      </c>
      <c r="B1691" s="4" t="str">
        <f>"CASSAUTO VILLENEUVOISE"</f>
        <v>CASSAUTO VILLENEUVOISE</v>
      </c>
      <c r="C1691" s="4">
        <v>409287521</v>
      </c>
      <c r="D1691" s="3" t="s">
        <v>0</v>
      </c>
      <c r="E1691" s="2" t="str">
        <f>"PR4700010D"</f>
        <v>PR4700010D</v>
      </c>
      <c r="F1691" s="5">
        <v>43798</v>
      </c>
      <c r="G1691" s="5">
        <v>54789</v>
      </c>
      <c r="H1691" s="4" t="str">
        <f>""</f>
        <v/>
      </c>
      <c r="I1691" s="4" t="str">
        <f>""</f>
        <v/>
      </c>
    </row>
    <row r="1692" spans="1:9" x14ac:dyDescent="0.3">
      <c r="A1692" s="1" t="str">
        <f>"47"</f>
        <v>47</v>
      </c>
      <c r="B1692" s="4" t="str">
        <f>"CAVI NEGOCIANT AUTO"</f>
        <v>CAVI NEGOCIANT AUTO</v>
      </c>
      <c r="C1692" s="4">
        <v>409287521</v>
      </c>
      <c r="D1692" s="3" t="s">
        <v>0</v>
      </c>
      <c r="E1692" s="2" t="str">
        <f>"0005205620"</f>
        <v>0005205620</v>
      </c>
      <c r="F1692" s="5">
        <v>43798</v>
      </c>
      <c r="G1692" s="5">
        <v>54789</v>
      </c>
      <c r="H1692" s="4" t="str">
        <f>""</f>
        <v/>
      </c>
      <c r="I1692" s="4" t="str">
        <f>""</f>
        <v/>
      </c>
    </row>
    <row r="1693" spans="1:9" x14ac:dyDescent="0.3">
      <c r="A1693" s="1" t="str">
        <f>"47"</f>
        <v>47</v>
      </c>
      <c r="B1693" s="4" t="str">
        <f>"GARAGE CEREA DAVID"</f>
        <v>GARAGE CEREA DAVID</v>
      </c>
      <c r="C1693" s="4">
        <v>502988363</v>
      </c>
      <c r="D1693" s="3" t="s">
        <v>0</v>
      </c>
      <c r="E1693" s="2" t="str">
        <f>"PR4700014D"</f>
        <v>PR4700014D</v>
      </c>
      <c r="F1693" s="5">
        <v>40515</v>
      </c>
      <c r="G1693" s="5">
        <v>54789</v>
      </c>
      <c r="H1693" s="4" t="str">
        <f>""</f>
        <v/>
      </c>
      <c r="I1693" s="4" t="str">
        <f>""</f>
        <v/>
      </c>
    </row>
    <row r="1694" spans="1:9" x14ac:dyDescent="0.3">
      <c r="A1694" s="1" t="str">
        <f>"47"</f>
        <v>47</v>
      </c>
      <c r="B1694" s="4" t="str">
        <f>"DAVID CEREA"</f>
        <v>DAVID CEREA</v>
      </c>
      <c r="C1694" s="4">
        <v>502988363</v>
      </c>
      <c r="D1694" s="3" t="s">
        <v>0</v>
      </c>
      <c r="E1694" s="2" t="str">
        <f>"0005206468"</f>
        <v>0005206468</v>
      </c>
      <c r="F1694" s="5">
        <v>42726</v>
      </c>
      <c r="G1694" s="5">
        <v>54789</v>
      </c>
      <c r="H1694" s="4" t="str">
        <f>""</f>
        <v/>
      </c>
      <c r="I1694" s="4" t="str">
        <f>""</f>
        <v/>
      </c>
    </row>
    <row r="1695" spans="1:9" x14ac:dyDescent="0.3">
      <c r="A1695" s="1" t="str">
        <f>"47"</f>
        <v>47</v>
      </c>
      <c r="B1695" s="4" t="str">
        <f>"LONGUEVILLE AUTO"</f>
        <v>LONGUEVILLE AUTO</v>
      </c>
      <c r="C1695" s="4">
        <v>794205781</v>
      </c>
      <c r="D1695" s="3" t="s">
        <v>0</v>
      </c>
      <c r="E1695" s="2" t="str">
        <f>"0005205592"</f>
        <v>0005205592</v>
      </c>
      <c r="F1695" s="5">
        <v>43637</v>
      </c>
      <c r="G1695" s="5">
        <v>54789</v>
      </c>
      <c r="H1695" s="4" t="str">
        <f>""</f>
        <v/>
      </c>
      <c r="I1695" s="4" t="str">
        <f>""</f>
        <v/>
      </c>
    </row>
    <row r="1696" spans="1:9" x14ac:dyDescent="0.3">
      <c r="A1696" s="1" t="str">
        <f>"47"</f>
        <v>47</v>
      </c>
      <c r="B1696" s="4" t="str">
        <f>"LONGUEVILLE AUTO"</f>
        <v>LONGUEVILLE AUTO</v>
      </c>
      <c r="C1696" s="4">
        <v>794205781</v>
      </c>
      <c r="D1696" s="3" t="s">
        <v>0</v>
      </c>
      <c r="E1696" s="2" t="str">
        <f>"PR4700007D"</f>
        <v>PR4700007D</v>
      </c>
      <c r="F1696" s="5">
        <v>41447</v>
      </c>
      <c r="G1696" s="5">
        <v>54789</v>
      </c>
      <c r="H1696" s="4" t="str">
        <f>""</f>
        <v/>
      </c>
      <c r="I1696" s="4" t="str">
        <f>""</f>
        <v/>
      </c>
    </row>
    <row r="1697" spans="1:9" x14ac:dyDescent="0.3">
      <c r="A1697" s="1" t="str">
        <f>"47"</f>
        <v>47</v>
      </c>
      <c r="B1697" s="4" t="str">
        <f>"DECONS OCCITANIE"</f>
        <v>DECONS OCCITANIE</v>
      </c>
      <c r="C1697" s="4">
        <v>832222541</v>
      </c>
      <c r="D1697" s="3" t="s">
        <v>0</v>
      </c>
      <c r="E1697" s="2" t="str">
        <f>"0005205556"</f>
        <v>0005205556</v>
      </c>
      <c r="F1697" s="5">
        <v>43282</v>
      </c>
      <c r="G1697" s="5">
        <v>54789</v>
      </c>
      <c r="H1697" s="4" t="str">
        <f>""</f>
        <v/>
      </c>
      <c r="I1697" s="4" t="str">
        <f>""</f>
        <v/>
      </c>
    </row>
    <row r="1698" spans="1:9" x14ac:dyDescent="0.3">
      <c r="A1698" s="1" t="str">
        <f>"47"</f>
        <v>47</v>
      </c>
      <c r="B1698" s="4" t="str">
        <f>"DECONS SA"</f>
        <v>DECONS SA</v>
      </c>
      <c r="C1698" s="4">
        <v>832222541</v>
      </c>
      <c r="D1698" s="3" t="s">
        <v>0</v>
      </c>
      <c r="E1698" s="2" t="str">
        <f>"PR4700003D"</f>
        <v>PR4700003D</v>
      </c>
      <c r="F1698" s="5">
        <v>43282</v>
      </c>
      <c r="G1698" s="5">
        <v>54789</v>
      </c>
      <c r="H1698" s="4" t="str">
        <f>""</f>
        <v/>
      </c>
      <c r="I1698" s="4" t="str">
        <f>""</f>
        <v/>
      </c>
    </row>
    <row r="1699" spans="1:9" x14ac:dyDescent="0.3">
      <c r="A1699" s="1" t="str">
        <f>"47"</f>
        <v>47</v>
      </c>
      <c r="B1699" s="4" t="str">
        <f>"CASSE AUTO SARPY EDOUIDI"</f>
        <v>CASSE AUTO SARPY EDOUIDI</v>
      </c>
      <c r="C1699" s="4">
        <v>841464274</v>
      </c>
      <c r="D1699" s="3" t="s">
        <v>0</v>
      </c>
      <c r="E1699" s="2" t="str">
        <f>"0005208305"</f>
        <v>0005208305</v>
      </c>
      <c r="F1699" s="5">
        <v>41960</v>
      </c>
      <c r="G1699" s="5">
        <v>54789</v>
      </c>
      <c r="H1699" s="4" t="str">
        <f>""</f>
        <v/>
      </c>
      <c r="I1699" s="4" t="str">
        <f>""</f>
        <v/>
      </c>
    </row>
    <row r="1700" spans="1:9" x14ac:dyDescent="0.3">
      <c r="A1700" s="1" t="str">
        <f>"47"</f>
        <v>47</v>
      </c>
      <c r="B1700" s="4" t="str">
        <f>"CASSE AUTO SARPY-EDOUIDI"</f>
        <v>CASSE AUTO SARPY-EDOUIDI</v>
      </c>
      <c r="C1700" s="4">
        <v>841464274</v>
      </c>
      <c r="D1700" s="3" t="s">
        <v>0</v>
      </c>
      <c r="E1700" s="2" t="str">
        <f>"PR4700012D"</f>
        <v>PR4700012D</v>
      </c>
      <c r="F1700" s="5">
        <v>41960</v>
      </c>
      <c r="G1700" s="5">
        <v>54789</v>
      </c>
      <c r="H1700" s="4" t="str">
        <f>""</f>
        <v/>
      </c>
      <c r="I1700" s="4" t="str">
        <f>""</f>
        <v/>
      </c>
    </row>
    <row r="1701" spans="1:9" x14ac:dyDescent="0.3">
      <c r="A1701" s="1" t="str">
        <f>"47"</f>
        <v>47</v>
      </c>
      <c r="B1701" s="4" t="str">
        <f>"STAR AUTO PIECES 48"</f>
        <v>STAR AUTO PIECES 48</v>
      </c>
      <c r="C1701" s="4">
        <v>841768583</v>
      </c>
      <c r="D1701" s="3" t="s">
        <v>0</v>
      </c>
      <c r="E1701" s="2" t="str">
        <f>"0005205565"</f>
        <v>0005205565</v>
      </c>
      <c r="F1701" s="5">
        <v>43587</v>
      </c>
      <c r="G1701" s="5">
        <v>54789</v>
      </c>
      <c r="H1701" s="4" t="str">
        <f>""</f>
        <v/>
      </c>
      <c r="I1701" s="4" t="str">
        <f>""</f>
        <v/>
      </c>
    </row>
    <row r="1702" spans="1:9" x14ac:dyDescent="0.3">
      <c r="A1702" s="1" t="str">
        <f>"47"</f>
        <v>47</v>
      </c>
      <c r="B1702" s="4" t="str">
        <f>"STAR AUTO PIECES 47"</f>
        <v>STAR AUTO PIECES 47</v>
      </c>
      <c r="C1702" s="4">
        <v>841768583</v>
      </c>
      <c r="D1702" s="3" t="s">
        <v>0</v>
      </c>
      <c r="E1702" s="2" t="str">
        <f>"PR4700016D"</f>
        <v>PR4700016D</v>
      </c>
      <c r="F1702" s="5">
        <v>43587</v>
      </c>
      <c r="G1702" s="5">
        <v>54789</v>
      </c>
      <c r="H1702" s="4" t="str">
        <f>""</f>
        <v/>
      </c>
      <c r="I1702" s="4" t="str">
        <f>""</f>
        <v/>
      </c>
    </row>
    <row r="1703" spans="1:9" x14ac:dyDescent="0.3">
      <c r="A1703" s="1" t="str">
        <f>"47"</f>
        <v>47</v>
      </c>
      <c r="B1703" s="4" t="str">
        <f>"EXR GROUPE"</f>
        <v>EXR GROUPE</v>
      </c>
      <c r="C1703" s="4">
        <v>888578762</v>
      </c>
      <c r="D1703" s="3" t="s">
        <v>0</v>
      </c>
      <c r="E1703" s="2" t="str">
        <f>"PR4700017D"</f>
        <v>PR4700017D</v>
      </c>
      <c r="F1703" s="5">
        <v>44151</v>
      </c>
      <c r="G1703" s="5">
        <v>54789</v>
      </c>
      <c r="H1703" s="4" t="str">
        <f>""</f>
        <v/>
      </c>
      <c r="I1703" s="4" t="str">
        <f>""</f>
        <v/>
      </c>
    </row>
    <row r="1704" spans="1:9" x14ac:dyDescent="0.3">
      <c r="A1704" s="1" t="str">
        <f>"47"</f>
        <v>47</v>
      </c>
      <c r="B1704" s="4" t="str">
        <f>"EXR GROUPE"</f>
        <v>EXR GROUPE</v>
      </c>
      <c r="C1704" s="4">
        <v>888578762</v>
      </c>
      <c r="D1704" s="3" t="s">
        <v>0</v>
      </c>
      <c r="E1704" s="2" t="str">
        <f>"0005205576"</f>
        <v>0005205576</v>
      </c>
      <c r="F1704" s="5">
        <v>44151</v>
      </c>
      <c r="G1704" s="5">
        <v>54789</v>
      </c>
      <c r="H1704" s="4" t="str">
        <f>""</f>
        <v/>
      </c>
      <c r="I1704" s="4" t="str">
        <f>""</f>
        <v/>
      </c>
    </row>
    <row r="1705" spans="1:9" x14ac:dyDescent="0.3">
      <c r="A1705" s="1" t="str">
        <f>"48"</f>
        <v>48</v>
      </c>
      <c r="B1705" s="4" t="str">
        <f>"ROUSSET"</f>
        <v>ROUSSET</v>
      </c>
      <c r="C1705" s="4">
        <v>328376991</v>
      </c>
      <c r="D1705" s="3" t="s">
        <v>0</v>
      </c>
      <c r="E1705" s="2" t="str">
        <f>"PR480008D"</f>
        <v>PR480008D</v>
      </c>
      <c r="F1705" s="5">
        <v>43410</v>
      </c>
      <c r="G1705" s="5">
        <v>54789</v>
      </c>
      <c r="H1705" s="4" t="str">
        <f>""</f>
        <v/>
      </c>
      <c r="I1705" s="4" t="str">
        <f>""</f>
        <v/>
      </c>
    </row>
    <row r="1706" spans="1:9" x14ac:dyDescent="0.3">
      <c r="A1706" s="1" t="str">
        <f>"48"</f>
        <v>48</v>
      </c>
      <c r="B1706" s="4" t="str">
        <f>"ROUSSET"</f>
        <v>ROUSSET</v>
      </c>
      <c r="C1706" s="4">
        <v>328376991</v>
      </c>
      <c r="D1706" s="3" t="s">
        <v>0</v>
      </c>
      <c r="E1706" s="2" t="str">
        <f>"0006602558"</f>
        <v>0006602558</v>
      </c>
      <c r="F1706" s="5">
        <v>43410</v>
      </c>
      <c r="G1706" s="5">
        <v>54789</v>
      </c>
      <c r="H1706" s="4" t="str">
        <f>""</f>
        <v/>
      </c>
      <c r="I1706" s="4" t="str">
        <f>""</f>
        <v/>
      </c>
    </row>
    <row r="1707" spans="1:9" x14ac:dyDescent="0.3">
      <c r="A1707" s="1" t="str">
        <f>"48"</f>
        <v>48</v>
      </c>
      <c r="B1707" s="4" t="str">
        <f>"SARL AUTO ENVIRONNEMENT MASSIF CENTRAL"</f>
        <v>SARL AUTO ENVIRONNEMENT MASSIF CENTRAL</v>
      </c>
      <c r="C1707" s="4">
        <v>414369173</v>
      </c>
      <c r="D1707" s="3" t="s">
        <v>0</v>
      </c>
      <c r="E1707" s="2" t="str">
        <f>"PR480007D"</f>
        <v>PR480007D</v>
      </c>
      <c r="F1707" s="5">
        <v>43410</v>
      </c>
      <c r="G1707" s="5">
        <v>54789</v>
      </c>
      <c r="H1707" s="4" t="str">
        <f>""</f>
        <v/>
      </c>
      <c r="I1707" s="4" t="str">
        <f>""</f>
        <v/>
      </c>
    </row>
    <row r="1708" spans="1:9" x14ac:dyDescent="0.3">
      <c r="A1708" s="1" t="str">
        <f>"48"</f>
        <v>48</v>
      </c>
      <c r="B1708" s="4" t="str">
        <f>"SARL ALLO RECUP-AUTOS"</f>
        <v>SARL ALLO RECUP-AUTOS</v>
      </c>
      <c r="C1708" s="4">
        <v>419578349</v>
      </c>
      <c r="D1708" s="3" t="s">
        <v>0</v>
      </c>
      <c r="E1708" s="2" t="str">
        <f>"PR480006D"</f>
        <v>PR480006D</v>
      </c>
      <c r="F1708" s="5">
        <v>39787</v>
      </c>
      <c r="G1708" s="5">
        <v>54789</v>
      </c>
      <c r="H1708" s="4" t="str">
        <f>""</f>
        <v/>
      </c>
      <c r="I1708" s="4" t="str">
        <f>""</f>
        <v/>
      </c>
    </row>
    <row r="1709" spans="1:9" x14ac:dyDescent="0.3">
      <c r="A1709" s="1" t="str">
        <f>"49"</f>
        <v>49</v>
      </c>
      <c r="B1709" s="4" t="str">
        <f>"BRANGEON RECYCLAGE ATLANTIQUE"</f>
        <v>BRANGEON RECYCLAGE ATLANTIQUE</v>
      </c>
      <c r="C1709" s="4">
        <v>62200753</v>
      </c>
      <c r="D1709" s="3" t="s">
        <v>0</v>
      </c>
      <c r="E1709" s="2" t="str">
        <f>"0006309484"</f>
        <v>0006309484</v>
      </c>
      <c r="F1709" s="5">
        <v>43794</v>
      </c>
      <c r="G1709" s="5">
        <v>54789</v>
      </c>
      <c r="H1709" s="4" t="str">
        <f>""</f>
        <v/>
      </c>
      <c r="I1709" s="4" t="str">
        <f>""</f>
        <v/>
      </c>
    </row>
    <row r="1710" spans="1:9" x14ac:dyDescent="0.3">
      <c r="A1710" s="1" t="str">
        <f>"49"</f>
        <v>49</v>
      </c>
      <c r="B1710" s="4" t="str">
        <f>"BRANGEON RECYCLAGE ATLANTIQUE"</f>
        <v>BRANGEON RECYCLAGE ATLANTIQUE</v>
      </c>
      <c r="C1710" s="4">
        <v>62200753</v>
      </c>
      <c r="D1710" s="3" t="s">
        <v>0</v>
      </c>
      <c r="E1710" s="2" t="str">
        <f>"PR4900036D"</f>
        <v>PR4900036D</v>
      </c>
      <c r="F1710" s="5">
        <v>43794</v>
      </c>
      <c r="G1710" s="5">
        <v>54789</v>
      </c>
      <c r="H1710" s="4" t="str">
        <f>""</f>
        <v/>
      </c>
      <c r="I1710" s="4" t="str">
        <f>""</f>
        <v/>
      </c>
    </row>
    <row r="1711" spans="1:9" x14ac:dyDescent="0.3">
      <c r="A1711" s="1" t="str">
        <f>"49"</f>
        <v>49</v>
      </c>
      <c r="B1711" s="4" t="str">
        <f>"DEBRITO"</f>
        <v>DEBRITO</v>
      </c>
      <c r="C1711" s="4">
        <v>71200422</v>
      </c>
      <c r="D1711" s="3" t="s">
        <v>0</v>
      </c>
      <c r="E1711" s="2" t="str">
        <f>"PR4900001D"</f>
        <v>PR4900001D</v>
      </c>
      <c r="F1711" s="5">
        <v>43417</v>
      </c>
      <c r="G1711" s="5">
        <v>54789</v>
      </c>
      <c r="H1711" s="4" t="str">
        <f>""</f>
        <v/>
      </c>
      <c r="I1711" s="4" t="str">
        <f>""</f>
        <v/>
      </c>
    </row>
    <row r="1712" spans="1:9" x14ac:dyDescent="0.3">
      <c r="A1712" s="1" t="str">
        <f>"49"</f>
        <v>49</v>
      </c>
      <c r="B1712" s="4" t="str">
        <f>"SAS DEBRITO"</f>
        <v>SAS DEBRITO</v>
      </c>
      <c r="C1712" s="4">
        <v>71200422</v>
      </c>
      <c r="D1712" s="3" t="s">
        <v>0</v>
      </c>
      <c r="E1712" s="2" t="str">
        <f>"0006302404"</f>
        <v>0006302404</v>
      </c>
      <c r="F1712" s="5">
        <v>43417</v>
      </c>
      <c r="G1712" s="5">
        <v>54789</v>
      </c>
      <c r="H1712" s="4" t="str">
        <f>""</f>
        <v/>
      </c>
      <c r="I1712" s="4" t="str">
        <f>""</f>
        <v/>
      </c>
    </row>
    <row r="1713" spans="1:9" x14ac:dyDescent="0.3">
      <c r="A1713" s="1" t="str">
        <f>"49"</f>
        <v>49</v>
      </c>
      <c r="B1713" s="4" t="str">
        <f>"SAS ROMI PAYS DE LOIRE"</f>
        <v>SAS ROMI PAYS DE LOIRE</v>
      </c>
      <c r="C1713" s="4">
        <v>300092889</v>
      </c>
      <c r="D1713" s="3" t="s">
        <v>0</v>
      </c>
      <c r="E1713" s="2" t="str">
        <f>"PR4900022D"</f>
        <v>PR4900022D</v>
      </c>
      <c r="F1713" s="5">
        <v>41813</v>
      </c>
      <c r="G1713" s="5">
        <v>54789</v>
      </c>
      <c r="H1713" s="4" t="str">
        <f>""</f>
        <v/>
      </c>
      <c r="I1713" s="4" t="str">
        <f>""</f>
        <v/>
      </c>
    </row>
    <row r="1714" spans="1:9" x14ac:dyDescent="0.3">
      <c r="A1714" s="1" t="str">
        <f>"49"</f>
        <v>49</v>
      </c>
      <c r="B1714" s="4" t="str">
        <f>"SAS ROMI PAYS DE LOIRE"</f>
        <v>SAS ROMI PAYS DE LOIRE</v>
      </c>
      <c r="C1714" s="4">
        <v>300092889</v>
      </c>
      <c r="D1714" s="3" t="s">
        <v>0</v>
      </c>
      <c r="E1714" s="2" t="str">
        <f>"0006302459"</f>
        <v>0006302459</v>
      </c>
      <c r="F1714" s="5">
        <v>43906</v>
      </c>
      <c r="G1714" s="5">
        <v>54789</v>
      </c>
      <c r="H1714" s="4" t="str">
        <f>""</f>
        <v/>
      </c>
      <c r="I1714" s="4" t="str">
        <f>""</f>
        <v/>
      </c>
    </row>
    <row r="1715" spans="1:9" x14ac:dyDescent="0.3">
      <c r="A1715" s="1" t="str">
        <f>"49"</f>
        <v>49</v>
      </c>
      <c r="B1715" s="4" t="str">
        <f>"SARL CHOLET RECUPER"</f>
        <v>SARL CHOLET RECUPER</v>
      </c>
      <c r="C1715" s="4">
        <v>312453715</v>
      </c>
      <c r="D1715" s="3" t="s">
        <v>0</v>
      </c>
      <c r="E1715" s="2" t="str">
        <f>"PR4900011D"</f>
        <v>PR4900011D</v>
      </c>
      <c r="F1715" s="5">
        <v>43475</v>
      </c>
      <c r="G1715" s="5">
        <v>54789</v>
      </c>
      <c r="H1715" s="4" t="str">
        <f>""</f>
        <v/>
      </c>
      <c r="I1715" s="4" t="str">
        <f>""</f>
        <v/>
      </c>
    </row>
    <row r="1716" spans="1:9" x14ac:dyDescent="0.3">
      <c r="A1716" s="1" t="str">
        <f>"49"</f>
        <v>49</v>
      </c>
      <c r="B1716" s="4" t="str">
        <f>"SARL CHOLET RECUPER"</f>
        <v>SARL CHOLET RECUPER</v>
      </c>
      <c r="C1716" s="4">
        <v>312453715</v>
      </c>
      <c r="D1716" s="3" t="s">
        <v>0</v>
      </c>
      <c r="E1716" s="2" t="str">
        <f>"0006302348"</f>
        <v>0006302348</v>
      </c>
      <c r="F1716" s="5">
        <v>43475</v>
      </c>
      <c r="G1716" s="5">
        <v>54789</v>
      </c>
      <c r="H1716" s="4" t="str">
        <f>""</f>
        <v/>
      </c>
      <c r="I1716" s="4" t="str">
        <f>""</f>
        <v/>
      </c>
    </row>
    <row r="1717" spans="1:9" x14ac:dyDescent="0.3">
      <c r="A1717" s="1" t="str">
        <f>"49"</f>
        <v>49</v>
      </c>
      <c r="B1717" s="4" t="str">
        <f>"SAS ANJOU CASS"</f>
        <v>SAS ANJOU CASS</v>
      </c>
      <c r="C1717" s="4">
        <v>317217693</v>
      </c>
      <c r="D1717" s="3" t="s">
        <v>0</v>
      </c>
      <c r="E1717" s="2" t="str">
        <f>"0006302544"</f>
        <v>0006302544</v>
      </c>
      <c r="F1717" s="5">
        <v>43384</v>
      </c>
      <c r="G1717" s="5">
        <v>54789</v>
      </c>
      <c r="H1717" s="4" t="str">
        <f>""</f>
        <v/>
      </c>
      <c r="I1717" s="4" t="str">
        <f>""</f>
        <v/>
      </c>
    </row>
    <row r="1718" spans="1:9" x14ac:dyDescent="0.3">
      <c r="A1718" s="1" t="str">
        <f>"49"</f>
        <v>49</v>
      </c>
      <c r="B1718" s="4" t="str">
        <f>"SAS ANJOU CASS"</f>
        <v>SAS ANJOU CASS</v>
      </c>
      <c r="C1718" s="4">
        <v>317217693</v>
      </c>
      <c r="D1718" s="3" t="s">
        <v>0</v>
      </c>
      <c r="E1718" s="2" t="str">
        <f>"PR4900005D"</f>
        <v>PR4900005D</v>
      </c>
      <c r="F1718" s="5">
        <v>38909</v>
      </c>
      <c r="G1718" s="5">
        <v>54789</v>
      </c>
      <c r="H1718" s="4" t="str">
        <f>""</f>
        <v/>
      </c>
      <c r="I1718" s="4" t="str">
        <f>""</f>
        <v/>
      </c>
    </row>
    <row r="1719" spans="1:9" x14ac:dyDescent="0.3">
      <c r="A1719" s="1" t="str">
        <f>"49"</f>
        <v>49</v>
      </c>
      <c r="B1719" s="4" t="str">
        <f>"SOCIETE RECUPERATION AUTO JOBARD"</f>
        <v>SOCIETE RECUPERATION AUTO JOBARD</v>
      </c>
      <c r="C1719" s="4">
        <v>321789901</v>
      </c>
      <c r="D1719" s="3" t="s">
        <v>0</v>
      </c>
      <c r="E1719" s="2" t="str">
        <f>"PR4900014D"</f>
        <v>PR4900014D</v>
      </c>
      <c r="F1719" s="5">
        <v>39034</v>
      </c>
      <c r="G1719" s="5">
        <v>54789</v>
      </c>
      <c r="H1719" s="4" t="str">
        <f>""</f>
        <v/>
      </c>
      <c r="I1719" s="4" t="str">
        <f>""</f>
        <v/>
      </c>
    </row>
    <row r="1720" spans="1:9" x14ac:dyDescent="0.3">
      <c r="A1720" s="1" t="str">
        <f>"49"</f>
        <v>49</v>
      </c>
      <c r="B1720" s="4" t="str">
        <f>"SOCIETE RECUPERATION AUTO JOBARD"</f>
        <v>SOCIETE RECUPERATION AUTO JOBARD</v>
      </c>
      <c r="C1720" s="4">
        <v>321789901</v>
      </c>
      <c r="D1720" s="3" t="s">
        <v>0</v>
      </c>
      <c r="E1720" s="2" t="str">
        <f>"0006302466"</f>
        <v>0006302466</v>
      </c>
      <c r="F1720" s="5">
        <v>43437</v>
      </c>
      <c r="G1720" s="5">
        <v>54789</v>
      </c>
      <c r="H1720" s="4" t="str">
        <f>""</f>
        <v/>
      </c>
      <c r="I1720" s="4" t="str">
        <f>""</f>
        <v/>
      </c>
    </row>
    <row r="1721" spans="1:9" x14ac:dyDescent="0.3">
      <c r="A1721" s="1" t="str">
        <f>"49"</f>
        <v>49</v>
      </c>
      <c r="B1721" s="4" t="str">
        <f>"SARL NEGOCE AUTO"</f>
        <v>SARL NEGOCE AUTO</v>
      </c>
      <c r="C1721" s="4">
        <v>322018532</v>
      </c>
      <c r="D1721" s="3" t="s">
        <v>0</v>
      </c>
      <c r="E1721" s="2" t="str">
        <f>"0006302483"</f>
        <v>0006302483</v>
      </c>
      <c r="F1721" s="5">
        <v>43661</v>
      </c>
      <c r="G1721" s="5">
        <v>54789</v>
      </c>
      <c r="H1721" s="4" t="str">
        <f>""</f>
        <v/>
      </c>
      <c r="I1721" s="4" t="str">
        <f>""</f>
        <v/>
      </c>
    </row>
    <row r="1722" spans="1:9" x14ac:dyDescent="0.3">
      <c r="A1722" s="1" t="str">
        <f>"49"</f>
        <v>49</v>
      </c>
      <c r="B1722" s="4" t="str">
        <f>"SARL NEGOCE AUTO"</f>
        <v>SARL NEGOCE AUTO</v>
      </c>
      <c r="C1722" s="4">
        <v>322018532</v>
      </c>
      <c r="D1722" s="3" t="s">
        <v>0</v>
      </c>
      <c r="E1722" s="2" t="str">
        <f>"PR4900012D"</f>
        <v>PR4900012D</v>
      </c>
      <c r="F1722" s="5">
        <v>43661</v>
      </c>
      <c r="G1722" s="5">
        <v>54789</v>
      </c>
      <c r="H1722" s="4" t="str">
        <f>""</f>
        <v/>
      </c>
      <c r="I1722" s="4" t="str">
        <f>""</f>
        <v/>
      </c>
    </row>
    <row r="1723" spans="1:9" x14ac:dyDescent="0.3">
      <c r="A1723" s="1" t="str">
        <f>"49"</f>
        <v>49</v>
      </c>
      <c r="B1723" s="4" t="str">
        <f>"CASSE DU HAUT ANJOU SARL"</f>
        <v>CASSE DU HAUT ANJOU SARL</v>
      </c>
      <c r="C1723" s="4">
        <v>322584228</v>
      </c>
      <c r="D1723" s="3" t="s">
        <v>0</v>
      </c>
      <c r="E1723" s="2" t="str">
        <f>"006305275"</f>
        <v>006305275</v>
      </c>
      <c r="F1723" s="5">
        <v>42384</v>
      </c>
      <c r="G1723" s="5">
        <v>54789</v>
      </c>
      <c r="H1723" s="4" t="str">
        <f>""</f>
        <v/>
      </c>
      <c r="I1723" s="4" t="str">
        <f>""</f>
        <v/>
      </c>
    </row>
    <row r="1724" spans="1:9" x14ac:dyDescent="0.3">
      <c r="A1724" s="1" t="str">
        <f>"49"</f>
        <v>49</v>
      </c>
      <c r="B1724" s="4" t="str">
        <f>"SOCIETE CASSE AUTO HENRI DENIS"</f>
        <v>SOCIETE CASSE AUTO HENRI DENIS</v>
      </c>
      <c r="C1724" s="4">
        <v>326838026</v>
      </c>
      <c r="D1724" s="3" t="s">
        <v>0</v>
      </c>
      <c r="E1724" s="2" t="str">
        <f>"0006302410"</f>
        <v>0006302410</v>
      </c>
      <c r="F1724" s="5">
        <v>43424</v>
      </c>
      <c r="G1724" s="5">
        <v>54789</v>
      </c>
      <c r="H1724" s="4" t="str">
        <f>""</f>
        <v/>
      </c>
      <c r="I1724" s="4" t="str">
        <f>""</f>
        <v/>
      </c>
    </row>
    <row r="1725" spans="1:9" x14ac:dyDescent="0.3">
      <c r="A1725" s="1" t="str">
        <f>"49"</f>
        <v>49</v>
      </c>
      <c r="B1725" s="4" t="str">
        <f>"SOCIETE CASSE AUTO HENRI DENIS"</f>
        <v>SOCIETE CASSE AUTO HENRI DENIS</v>
      </c>
      <c r="C1725" s="4">
        <v>326838026</v>
      </c>
      <c r="D1725" s="3" t="s">
        <v>0</v>
      </c>
      <c r="E1725" s="2" t="str">
        <f>"PR4900030D"</f>
        <v>PR4900030D</v>
      </c>
      <c r="F1725" s="5">
        <v>41233</v>
      </c>
      <c r="G1725" s="5">
        <v>54789</v>
      </c>
      <c r="H1725" s="4" t="str">
        <f>""</f>
        <v/>
      </c>
      <c r="I1725" s="4" t="str">
        <f>""</f>
        <v/>
      </c>
    </row>
    <row r="1726" spans="1:9" x14ac:dyDescent="0.3">
      <c r="A1726" s="1" t="str">
        <f>"49"</f>
        <v>49</v>
      </c>
      <c r="B1726" s="4" t="str">
        <f>"SARL DELNA"</f>
        <v>SARL DELNA</v>
      </c>
      <c r="C1726" s="4">
        <v>353748668</v>
      </c>
      <c r="D1726" s="3" t="s">
        <v>0</v>
      </c>
      <c r="E1726" s="2" t="str">
        <f>"0006310105"</f>
        <v>0006310105</v>
      </c>
      <c r="F1726" s="5">
        <v>43031</v>
      </c>
      <c r="G1726" s="5">
        <v>54789</v>
      </c>
      <c r="H1726" s="4" t="str">
        <f>""</f>
        <v/>
      </c>
      <c r="I1726" s="4" t="str">
        <f>""</f>
        <v/>
      </c>
    </row>
    <row r="1727" spans="1:9" x14ac:dyDescent="0.3">
      <c r="A1727" s="1" t="str">
        <f>"49"</f>
        <v>49</v>
      </c>
      <c r="B1727" s="4" t="str">
        <f>"SARL DELNA"</f>
        <v>SARL DELNA</v>
      </c>
      <c r="C1727" s="4">
        <v>353748668</v>
      </c>
      <c r="D1727" s="3" t="s">
        <v>0</v>
      </c>
      <c r="E1727" s="2" t="str">
        <f>"PR4900035D"</f>
        <v>PR4900035D</v>
      </c>
      <c r="F1727" s="5">
        <v>43031</v>
      </c>
      <c r="G1727" s="5">
        <v>54789</v>
      </c>
      <c r="H1727" s="4" t="str">
        <f>""</f>
        <v/>
      </c>
      <c r="I1727" s="4" t="str">
        <f>""</f>
        <v/>
      </c>
    </row>
    <row r="1728" spans="1:9" x14ac:dyDescent="0.3">
      <c r="A1728" s="1" t="str">
        <f>"49"</f>
        <v>49</v>
      </c>
      <c r="B1728" s="4" t="str">
        <f>"SARL GAULTIER"</f>
        <v>SARL GAULTIER</v>
      </c>
      <c r="C1728" s="4">
        <v>378963854</v>
      </c>
      <c r="D1728" s="3" t="s">
        <v>0</v>
      </c>
      <c r="E1728" s="2" t="str">
        <f>"PR4900021D"</f>
        <v>PR4900021D</v>
      </c>
      <c r="F1728" s="5">
        <v>39434</v>
      </c>
      <c r="G1728" s="5">
        <v>54789</v>
      </c>
      <c r="H1728" s="4" t="str">
        <f>""</f>
        <v/>
      </c>
      <c r="I1728" s="4" t="str">
        <f>""</f>
        <v/>
      </c>
    </row>
    <row r="1729" spans="1:9" x14ac:dyDescent="0.3">
      <c r="A1729" s="1" t="str">
        <f>"49"</f>
        <v>49</v>
      </c>
      <c r="B1729" s="4" t="str">
        <f>"SARL GAULTIER"</f>
        <v>SARL GAULTIER</v>
      </c>
      <c r="C1729" s="4">
        <v>378963854</v>
      </c>
      <c r="D1729" s="3" t="s">
        <v>0</v>
      </c>
      <c r="E1729" s="2" t="str">
        <f>"0006302461"</f>
        <v>0006302461</v>
      </c>
      <c r="F1729" s="5">
        <v>43763</v>
      </c>
      <c r="G1729" s="5">
        <v>54789</v>
      </c>
      <c r="H1729" s="4" t="str">
        <f>""</f>
        <v/>
      </c>
      <c r="I1729" s="4" t="str">
        <f>""</f>
        <v/>
      </c>
    </row>
    <row r="1730" spans="1:9" x14ac:dyDescent="0.3">
      <c r="A1730" s="1" t="str">
        <f>"49"</f>
        <v>49</v>
      </c>
      <c r="B1730" s="4" t="str">
        <f>"SARL ARCA CHUDEAU"</f>
        <v>SARL ARCA CHUDEAU</v>
      </c>
      <c r="C1730" s="4">
        <v>382391951</v>
      </c>
      <c r="D1730" s="3" t="s">
        <v>0</v>
      </c>
      <c r="E1730" s="2" t="str">
        <f>"PR4900031D"</f>
        <v>PR4900031D</v>
      </c>
      <c r="F1730" s="5">
        <v>41331</v>
      </c>
      <c r="G1730" s="5">
        <v>54789</v>
      </c>
      <c r="H1730" s="4" t="str">
        <f>""</f>
        <v/>
      </c>
      <c r="I1730" s="4" t="str">
        <f>""</f>
        <v/>
      </c>
    </row>
    <row r="1731" spans="1:9" x14ac:dyDescent="0.3">
      <c r="A1731" s="1" t="str">
        <f>"49"</f>
        <v>49</v>
      </c>
      <c r="B1731" s="4" t="str">
        <f>"SOCIETE AFM RECYCLAGE"</f>
        <v>SOCIETE AFM RECYCLAGE</v>
      </c>
      <c r="C1731" s="4">
        <v>383482635</v>
      </c>
      <c r="D1731" s="3" t="s">
        <v>0</v>
      </c>
      <c r="E1731" s="2" t="str">
        <f>"0006302319"</f>
        <v>0006302319</v>
      </c>
      <c r="F1731" s="5">
        <v>43377</v>
      </c>
      <c r="G1731" s="5">
        <v>54789</v>
      </c>
      <c r="H1731" s="4" t="str">
        <f>""</f>
        <v/>
      </c>
      <c r="I1731" s="4" t="str">
        <f>""</f>
        <v/>
      </c>
    </row>
    <row r="1732" spans="1:9" x14ac:dyDescent="0.3">
      <c r="A1732" s="1" t="str">
        <f>"49"</f>
        <v>49</v>
      </c>
      <c r="B1732" s="4" t="str">
        <f>"SOCIETE AM RECYCLAGE"</f>
        <v>SOCIETE AM RECYCLAGE</v>
      </c>
      <c r="C1732" s="4">
        <v>383482635</v>
      </c>
      <c r="D1732" s="3" t="s">
        <v>0</v>
      </c>
      <c r="E1732" s="2" t="str">
        <f>"0006304082"</f>
        <v>0006304082</v>
      </c>
      <c r="F1732" s="5">
        <v>44848</v>
      </c>
      <c r="G1732" s="5">
        <v>54789</v>
      </c>
      <c r="H1732" s="4" t="str">
        <f>""</f>
        <v/>
      </c>
      <c r="I1732" s="4" t="str">
        <f>""</f>
        <v/>
      </c>
    </row>
    <row r="1733" spans="1:9" x14ac:dyDescent="0.3">
      <c r="A1733" s="1" t="str">
        <f>"49"</f>
        <v>49</v>
      </c>
      <c r="B1733" s="4" t="str">
        <f>"SOCIETE AFM RECYCLAGE"</f>
        <v>SOCIETE AFM RECYCLAGE</v>
      </c>
      <c r="C1733" s="4">
        <v>383482635</v>
      </c>
      <c r="D1733" s="3" t="s">
        <v>0</v>
      </c>
      <c r="E1733" s="2" t="str">
        <f>"PR4900003D"</f>
        <v>PR4900003D</v>
      </c>
      <c r="F1733" s="5">
        <v>38902</v>
      </c>
      <c r="G1733" s="5">
        <v>54789</v>
      </c>
      <c r="H1733" s="4" t="str">
        <f>""</f>
        <v/>
      </c>
      <c r="I1733" s="4" t="str">
        <f>""</f>
        <v/>
      </c>
    </row>
    <row r="1734" spans="1:9" x14ac:dyDescent="0.3">
      <c r="A1734" s="1" t="str">
        <f>"49"</f>
        <v>49</v>
      </c>
      <c r="B1734" s="4" t="str">
        <f>"SOCIETE AFM RECYCLAGE"</f>
        <v>SOCIETE AFM RECYCLAGE</v>
      </c>
      <c r="C1734" s="4">
        <v>383482635</v>
      </c>
      <c r="D1734" s="3" t="s">
        <v>0</v>
      </c>
      <c r="E1734" s="2" t="str">
        <f>"PR4900004D"</f>
        <v>PR4900004D</v>
      </c>
      <c r="F1734" s="5">
        <v>38902</v>
      </c>
      <c r="G1734" s="5">
        <v>54789</v>
      </c>
      <c r="H1734" s="4" t="str">
        <f>""</f>
        <v/>
      </c>
      <c r="I1734" s="4" t="str">
        <f>""</f>
        <v/>
      </c>
    </row>
    <row r="1735" spans="1:9" x14ac:dyDescent="0.3">
      <c r="A1735" s="1" t="str">
        <f>"49"</f>
        <v>49</v>
      </c>
      <c r="B1735" s="4" t="str">
        <f>"SOCIETE AM RECYCLAGE"</f>
        <v>SOCIETE AM RECYCLAGE</v>
      </c>
      <c r="C1735" s="4">
        <v>383482635</v>
      </c>
      <c r="D1735" s="3" t="s">
        <v>0</v>
      </c>
      <c r="E1735" s="2" t="str">
        <f>"PR4900010D"</f>
        <v>PR4900010D</v>
      </c>
      <c r="F1735" s="5">
        <v>44848</v>
      </c>
      <c r="G1735" s="5">
        <v>54789</v>
      </c>
      <c r="H1735" s="4" t="str">
        <f>""</f>
        <v/>
      </c>
      <c r="I1735" s="4" t="str">
        <f>""</f>
        <v/>
      </c>
    </row>
    <row r="1736" spans="1:9" x14ac:dyDescent="0.3">
      <c r="A1736" s="1" t="str">
        <f>"49"</f>
        <v>49</v>
      </c>
      <c r="B1736" s="4" t="str">
        <f>"Société AFM RECYCLAGE"</f>
        <v>Société AFM RECYCLAGE</v>
      </c>
      <c r="C1736" s="4">
        <v>383482635</v>
      </c>
      <c r="D1736" s="3" t="s">
        <v>0</v>
      </c>
      <c r="E1736" s="2" t="str">
        <f>"PR4900034D"</f>
        <v>PR4900034D</v>
      </c>
      <c r="F1736" s="5">
        <v>42941</v>
      </c>
      <c r="G1736" s="5">
        <v>54789</v>
      </c>
      <c r="H1736" s="4" t="str">
        <f>""</f>
        <v/>
      </c>
      <c r="I1736" s="4" t="str">
        <f>""</f>
        <v/>
      </c>
    </row>
    <row r="1737" spans="1:9" x14ac:dyDescent="0.3">
      <c r="A1737" s="1" t="str">
        <f>"49"</f>
        <v>49</v>
      </c>
      <c r="B1737" s="4" t="str">
        <f>"SOCIETE AFM RECYCLAGE"</f>
        <v>SOCIETE AFM RECYCLAGE</v>
      </c>
      <c r="C1737" s="4">
        <v>383482635</v>
      </c>
      <c r="D1737" s="3" t="s">
        <v>0</v>
      </c>
      <c r="E1737" s="2" t="str">
        <f>"0006302465"</f>
        <v>0006302465</v>
      </c>
      <c r="F1737" s="5">
        <v>43377</v>
      </c>
      <c r="G1737" s="5">
        <v>54789</v>
      </c>
      <c r="H1737" s="4" t="str">
        <f>""</f>
        <v/>
      </c>
      <c r="I1737" s="4" t="str">
        <f>""</f>
        <v/>
      </c>
    </row>
    <row r="1738" spans="1:9" x14ac:dyDescent="0.3">
      <c r="A1738" s="1" t="str">
        <f>"49"</f>
        <v>49</v>
      </c>
      <c r="B1738" s="4" t="str">
        <f>"Société AFM RECYCLAGE"</f>
        <v>Société AFM RECYCLAGE</v>
      </c>
      <c r="C1738" s="4">
        <v>383482635</v>
      </c>
      <c r="D1738" s="3" t="s">
        <v>0</v>
      </c>
      <c r="E1738" s="2" t="str">
        <f>"0006308550"</f>
        <v>0006308550</v>
      </c>
      <c r="F1738" s="5">
        <v>42941</v>
      </c>
      <c r="G1738" s="5">
        <v>54789</v>
      </c>
      <c r="H1738" s="4" t="str">
        <f>""</f>
        <v/>
      </c>
      <c r="I1738" s="4" t="str">
        <f>""</f>
        <v/>
      </c>
    </row>
    <row r="1739" spans="1:9" x14ac:dyDescent="0.3">
      <c r="A1739" s="1" t="str">
        <f>"49"</f>
        <v>49</v>
      </c>
      <c r="B1739" s="4" t="str">
        <f>"Société AFM RECYCLAGE"</f>
        <v>Société AFM RECYCLAGE</v>
      </c>
      <c r="C1739" s="4">
        <v>383482635</v>
      </c>
      <c r="D1739" s="3" t="s">
        <v>0</v>
      </c>
      <c r="E1739" s="2" t="str">
        <f>"0006306438"</f>
        <v>0006306438</v>
      </c>
      <c r="F1739" s="5">
        <v>44848</v>
      </c>
      <c r="G1739" s="5">
        <v>54789</v>
      </c>
      <c r="H1739" s="4" t="str">
        <f>""</f>
        <v/>
      </c>
      <c r="I1739" s="4" t="str">
        <f>""</f>
        <v/>
      </c>
    </row>
    <row r="1740" spans="1:9" x14ac:dyDescent="0.3">
      <c r="A1740" s="1" t="str">
        <f>"49"</f>
        <v>49</v>
      </c>
      <c r="B1740" s="4" t="str">
        <f>"SARL COFFY AUTOMOBILE"</f>
        <v>SARL COFFY AUTOMOBILE</v>
      </c>
      <c r="C1740" s="4">
        <v>391222007</v>
      </c>
      <c r="D1740" s="3" t="s">
        <v>0</v>
      </c>
      <c r="E1740" s="2" t="str">
        <f>"0006302346"</f>
        <v>0006302346</v>
      </c>
      <c r="F1740" s="5">
        <v>43742</v>
      </c>
      <c r="G1740" s="5">
        <v>54789</v>
      </c>
      <c r="H1740" s="4" t="str">
        <f>""</f>
        <v/>
      </c>
      <c r="I1740" s="4" t="str">
        <f>""</f>
        <v/>
      </c>
    </row>
    <row r="1741" spans="1:9" x14ac:dyDescent="0.3">
      <c r="A1741" s="1" t="str">
        <f>"49"</f>
        <v>49</v>
      </c>
      <c r="B1741" s="4" t="str">
        <f>"SARL COFFY AUTOMOBILE"</f>
        <v>SARL COFFY AUTOMOBILE</v>
      </c>
      <c r="C1741" s="4">
        <v>391222007</v>
      </c>
      <c r="D1741" s="3" t="s">
        <v>0</v>
      </c>
      <c r="E1741" s="2" t="str">
        <f>"PR4900020D"</f>
        <v>PR4900020D</v>
      </c>
      <c r="F1741" s="5">
        <v>39415</v>
      </c>
      <c r="G1741" s="5">
        <v>54789</v>
      </c>
      <c r="H1741" s="4" t="str">
        <f>""</f>
        <v/>
      </c>
      <c r="I1741" s="4" t="str">
        <f>""</f>
        <v/>
      </c>
    </row>
    <row r="1742" spans="1:9" x14ac:dyDescent="0.3">
      <c r="A1742" s="1" t="str">
        <f>"49"</f>
        <v>49</v>
      </c>
      <c r="B1742" s="4" t="str">
        <f>"SOCIETE SRVM"</f>
        <v>SOCIETE SRVM</v>
      </c>
      <c r="C1742" s="4">
        <v>398275024</v>
      </c>
      <c r="D1742" s="3" t="s">
        <v>0</v>
      </c>
      <c r="E1742" s="2" t="str">
        <f>"PR4900018D"</f>
        <v>PR4900018D</v>
      </c>
      <c r="F1742" s="5">
        <v>39407</v>
      </c>
      <c r="G1742" s="5">
        <v>54789</v>
      </c>
      <c r="H1742" s="4" t="str">
        <f>""</f>
        <v/>
      </c>
      <c r="I1742" s="4" t="str">
        <f>""</f>
        <v/>
      </c>
    </row>
    <row r="1743" spans="1:9" x14ac:dyDescent="0.3">
      <c r="A1743" s="1" t="str">
        <f>"49"</f>
        <v>49</v>
      </c>
      <c r="B1743" s="4" t="str">
        <f>"SOCIETE SRVM"</f>
        <v>SOCIETE SRVM</v>
      </c>
      <c r="C1743" s="4">
        <v>398275024</v>
      </c>
      <c r="D1743" s="3" t="s">
        <v>0</v>
      </c>
      <c r="E1743" s="2" t="str">
        <f>"0006303881"</f>
        <v>0006303881</v>
      </c>
      <c r="F1743" s="5">
        <v>43755</v>
      </c>
      <c r="G1743" s="5">
        <v>54789</v>
      </c>
      <c r="H1743" s="4" t="str">
        <f>""</f>
        <v/>
      </c>
      <c r="I1743" s="4" t="str">
        <f>""</f>
        <v/>
      </c>
    </row>
    <row r="1744" spans="1:9" x14ac:dyDescent="0.3">
      <c r="A1744" s="1" t="str">
        <f>"49"</f>
        <v>49</v>
      </c>
      <c r="B1744" s="4" t="str">
        <f>"CYRIL CADEAU"</f>
        <v>CYRIL CADEAU</v>
      </c>
      <c r="C1744" s="4">
        <v>402208037</v>
      </c>
      <c r="D1744" s="3" t="s">
        <v>0</v>
      </c>
      <c r="E1744" s="2" t="str">
        <f>"PR4900029D"</f>
        <v>PR4900029D</v>
      </c>
      <c r="F1744" s="5">
        <v>40599</v>
      </c>
      <c r="G1744" s="5">
        <v>54789</v>
      </c>
      <c r="H1744" s="4" t="str">
        <f>""</f>
        <v/>
      </c>
      <c r="I1744" s="4" t="str">
        <f>""</f>
        <v/>
      </c>
    </row>
    <row r="1745" spans="1:9" x14ac:dyDescent="0.3">
      <c r="A1745" s="1" t="str">
        <f>"49"</f>
        <v>49</v>
      </c>
      <c r="B1745" s="4" t="str">
        <f>"CYRIL CADEAU"</f>
        <v>CYRIL CADEAU</v>
      </c>
      <c r="C1745" s="4">
        <v>402208037</v>
      </c>
      <c r="D1745" s="3" t="s">
        <v>0</v>
      </c>
      <c r="E1745" s="2" t="str">
        <f>"0006305372"</f>
        <v>0006305372</v>
      </c>
      <c r="F1745" s="5">
        <v>40599</v>
      </c>
      <c r="G1745" s="5">
        <v>54789</v>
      </c>
      <c r="H1745" s="4" t="str">
        <f>""</f>
        <v/>
      </c>
      <c r="I1745" s="4" t="str">
        <f>""</f>
        <v/>
      </c>
    </row>
    <row r="1746" spans="1:9" x14ac:dyDescent="0.3">
      <c r="A1746" s="1" t="str">
        <f>"49"</f>
        <v>49</v>
      </c>
      <c r="B1746" s="4" t="str">
        <f>"SARL KILO METAUX"</f>
        <v>SARL KILO METAUX</v>
      </c>
      <c r="C1746" s="4">
        <v>408730125</v>
      </c>
      <c r="D1746" s="3" t="s">
        <v>0</v>
      </c>
      <c r="E1746" s="2" t="str">
        <f>"PR4900009D"</f>
        <v>PR4900009D</v>
      </c>
      <c r="F1746" s="5">
        <v>45127</v>
      </c>
      <c r="G1746" s="5">
        <v>54789</v>
      </c>
      <c r="H1746" s="4" t="str">
        <f>""</f>
        <v/>
      </c>
      <c r="I1746" s="4" t="str">
        <f>""</f>
        <v/>
      </c>
    </row>
    <row r="1747" spans="1:9" x14ac:dyDescent="0.3">
      <c r="A1747" s="1" t="str">
        <f>"49"</f>
        <v>49</v>
      </c>
      <c r="B1747" s="4" t="str">
        <f>"EURO AUTOMOBILES"</f>
        <v>EURO AUTOMOBILES</v>
      </c>
      <c r="C1747" s="4">
        <v>419863329</v>
      </c>
      <c r="D1747" s="3" t="s">
        <v>0</v>
      </c>
      <c r="E1747" s="2" t="str">
        <f>"PR3100011D"</f>
        <v>PR3100011D</v>
      </c>
      <c r="F1747" s="5">
        <v>43588</v>
      </c>
      <c r="G1747" s="5">
        <v>54789</v>
      </c>
      <c r="H1747" s="4" t="str">
        <f>""</f>
        <v/>
      </c>
      <c r="I1747" s="4" t="str">
        <f>""</f>
        <v/>
      </c>
    </row>
    <row r="1748" spans="1:9" x14ac:dyDescent="0.3">
      <c r="A1748" s="1" t="str">
        <f>"49"</f>
        <v>49</v>
      </c>
      <c r="B1748" s="4" t="str">
        <f>"SARL PASSENAUD HENRI RECUPERATION"</f>
        <v>SARL PASSENAUD HENRI RECUPERATION</v>
      </c>
      <c r="C1748" s="4">
        <v>423215128</v>
      </c>
      <c r="D1748" s="3" t="s">
        <v>0</v>
      </c>
      <c r="E1748" s="2" t="str">
        <f>"0006304983"</f>
        <v>0006304983</v>
      </c>
      <c r="F1748" s="5">
        <v>41915</v>
      </c>
      <c r="G1748" s="5">
        <v>54789</v>
      </c>
      <c r="H1748" s="4" t="str">
        <f>""</f>
        <v/>
      </c>
      <c r="I1748" s="4" t="str">
        <f>""</f>
        <v/>
      </c>
    </row>
    <row r="1749" spans="1:9" x14ac:dyDescent="0.3">
      <c r="A1749" s="1" t="str">
        <f>"49"</f>
        <v>49</v>
      </c>
      <c r="B1749" s="4" t="str">
        <f>"SARL PASSENAUD HENRI RECUPERATION"</f>
        <v>SARL PASSENAUD HENRI RECUPERATION</v>
      </c>
      <c r="C1749" s="4">
        <v>423215128</v>
      </c>
      <c r="D1749" s="3" t="s">
        <v>0</v>
      </c>
      <c r="E1749" s="2" t="str">
        <f>"PR4900023D"</f>
        <v>PR4900023D</v>
      </c>
      <c r="F1749" s="5">
        <v>39724</v>
      </c>
      <c r="G1749" s="5">
        <v>54789</v>
      </c>
      <c r="H1749" s="4" t="str">
        <f>""</f>
        <v/>
      </c>
      <c r="I1749" s="4" t="str">
        <f>""</f>
        <v/>
      </c>
    </row>
    <row r="1750" spans="1:9" x14ac:dyDescent="0.3">
      <c r="A1750" s="1" t="str">
        <f>"49"</f>
        <v>49</v>
      </c>
      <c r="B1750" s="4" t="str">
        <f>"SARL RECUP AUTO ANJOU"</f>
        <v>SARL RECUP AUTO ANJOU</v>
      </c>
      <c r="C1750" s="4">
        <v>424338044</v>
      </c>
      <c r="D1750" s="3" t="s">
        <v>0</v>
      </c>
      <c r="E1750" s="2" t="str">
        <f>"PR4900006D"</f>
        <v>PR4900006D</v>
      </c>
      <c r="F1750" s="5">
        <v>43416</v>
      </c>
      <c r="G1750" s="5">
        <v>54789</v>
      </c>
      <c r="H1750" s="4" t="str">
        <f>""</f>
        <v/>
      </c>
      <c r="I1750" s="4" t="str">
        <f>""</f>
        <v/>
      </c>
    </row>
    <row r="1751" spans="1:9" x14ac:dyDescent="0.3">
      <c r="A1751" s="1" t="str">
        <f>"49"</f>
        <v>49</v>
      </c>
      <c r="B1751" s="4" t="str">
        <f>"SARL RECUP AUTO ANJOU"</f>
        <v>SARL RECUP AUTO ANJOU</v>
      </c>
      <c r="C1751" s="4">
        <v>424338044</v>
      </c>
      <c r="D1751" s="3" t="s">
        <v>0</v>
      </c>
      <c r="E1751" s="2" t="str">
        <f>"0006302472"</f>
        <v>0006302472</v>
      </c>
      <c r="F1751" s="5">
        <v>43416</v>
      </c>
      <c r="G1751" s="5">
        <v>54789</v>
      </c>
      <c r="H1751" s="4" t="str">
        <f>""</f>
        <v/>
      </c>
      <c r="I1751" s="4" t="str">
        <f>""</f>
        <v/>
      </c>
    </row>
    <row r="1752" spans="1:9" x14ac:dyDescent="0.3">
      <c r="A1752" s="1" t="str">
        <f>"49"</f>
        <v>49</v>
      </c>
      <c r="B1752" s="4" t="str">
        <f>"SOCIETE ACTION COLLECTE ET VALORISATION DES DECHETS"</f>
        <v>SOCIETE ACTION COLLECTE ET VALORISATION DES DECHETS</v>
      </c>
      <c r="C1752" s="4">
        <v>453126849</v>
      </c>
      <c r="D1752" s="3" t="s">
        <v>0</v>
      </c>
      <c r="E1752" s="2" t="str">
        <f>"PR4900027D"</f>
        <v>PR4900027D</v>
      </c>
      <c r="F1752" s="5">
        <v>40036</v>
      </c>
      <c r="G1752" s="5">
        <v>54789</v>
      </c>
      <c r="H1752" s="4" t="str">
        <f>""</f>
        <v/>
      </c>
      <c r="I1752" s="4" t="str">
        <f>""</f>
        <v/>
      </c>
    </row>
    <row r="1753" spans="1:9" x14ac:dyDescent="0.3">
      <c r="A1753" s="1" t="str">
        <f>"49"</f>
        <v>49</v>
      </c>
      <c r="B1753" s="4" t="str">
        <f>"KILO METAUX"</f>
        <v>KILO METAUX</v>
      </c>
      <c r="C1753" s="4">
        <v>477554968</v>
      </c>
      <c r="D1753" s="3" t="s">
        <v>0</v>
      </c>
      <c r="E1753" s="2" t="str">
        <f>"0006302500"</f>
        <v>0006302500</v>
      </c>
      <c r="F1753" s="5">
        <v>43416</v>
      </c>
      <c r="G1753" s="5">
        <v>54789</v>
      </c>
      <c r="H1753" s="4" t="str">
        <f>""</f>
        <v/>
      </c>
      <c r="I1753" s="4" t="str">
        <f>""</f>
        <v/>
      </c>
    </row>
    <row r="1754" spans="1:9" x14ac:dyDescent="0.3">
      <c r="A1754" s="1" t="str">
        <f>"49"</f>
        <v>49</v>
      </c>
      <c r="B1754" s="4" t="str">
        <f>"SARL AYROLES COURAIS"</f>
        <v>SARL AYROLES COURAIS</v>
      </c>
      <c r="C1754" s="4">
        <v>481835031</v>
      </c>
      <c r="D1754" s="3" t="s">
        <v>0</v>
      </c>
      <c r="E1754" s="2" t="str">
        <f>"0006302402"</f>
        <v>0006302402</v>
      </c>
      <c r="F1754" s="5">
        <v>43377</v>
      </c>
      <c r="G1754" s="5">
        <v>54789</v>
      </c>
      <c r="H1754" s="4" t="str">
        <f>""</f>
        <v/>
      </c>
      <c r="I1754" s="4" t="str">
        <f>""</f>
        <v/>
      </c>
    </row>
    <row r="1755" spans="1:9" x14ac:dyDescent="0.3">
      <c r="A1755" s="1" t="str">
        <f>"49"</f>
        <v>49</v>
      </c>
      <c r="B1755" s="4" t="str">
        <f>"SARL AYROLES COURAIS"</f>
        <v>SARL AYROLES COURAIS</v>
      </c>
      <c r="C1755" s="4">
        <v>481835031</v>
      </c>
      <c r="D1755" s="3" t="s">
        <v>0</v>
      </c>
      <c r="E1755" s="2" t="str">
        <f>"PR4900002D"</f>
        <v>PR4900002D</v>
      </c>
      <c r="F1755" s="5">
        <v>38902</v>
      </c>
      <c r="G1755" s="5">
        <v>54789</v>
      </c>
      <c r="H1755" s="4" t="str">
        <f>""</f>
        <v/>
      </c>
      <c r="I1755" s="4" t="str">
        <f>""</f>
        <v/>
      </c>
    </row>
    <row r="1756" spans="1:9" x14ac:dyDescent="0.3">
      <c r="A1756" s="1" t="str">
        <f>"49"</f>
        <v>49</v>
      </c>
      <c r="B1756" s="4" t="str">
        <f>"SAS COPA"</f>
        <v>SAS COPA</v>
      </c>
      <c r="C1756" s="4">
        <v>484314877</v>
      </c>
      <c r="D1756" s="3" t="s">
        <v>0</v>
      </c>
      <c r="E1756" s="2" t="str">
        <f>"0006308939"</f>
        <v>0006308939</v>
      </c>
      <c r="F1756" s="5">
        <v>44539</v>
      </c>
      <c r="G1756" s="5">
        <v>54789</v>
      </c>
      <c r="H1756" s="4" t="str">
        <f>""</f>
        <v/>
      </c>
      <c r="I1756" s="4" t="str">
        <f>""</f>
        <v/>
      </c>
    </row>
    <row r="1757" spans="1:9" x14ac:dyDescent="0.3">
      <c r="A1757" s="1" t="str">
        <f>"49"</f>
        <v>49</v>
      </c>
      <c r="B1757" s="4" t="str">
        <f>"SAS COPA"</f>
        <v>SAS COPA</v>
      </c>
      <c r="C1757" s="4">
        <v>484314877</v>
      </c>
      <c r="D1757" s="3" t="s">
        <v>0</v>
      </c>
      <c r="E1757" s="2" t="str">
        <f>"PR4900033D"</f>
        <v>PR4900033D</v>
      </c>
      <c r="F1757" s="5">
        <v>44539</v>
      </c>
      <c r="G1757" s="5">
        <v>54789</v>
      </c>
      <c r="H1757" s="4" t="str">
        <f>""</f>
        <v/>
      </c>
      <c r="I1757" s="4" t="str">
        <f>""</f>
        <v/>
      </c>
    </row>
    <row r="1758" spans="1:9" x14ac:dyDescent="0.3">
      <c r="A1758" s="1" t="str">
        <f>"49"</f>
        <v>49</v>
      </c>
      <c r="B1758" s="4" t="str">
        <f>"SARL AEQUO SYSTEME"</f>
        <v>SARL AEQUO SYSTEME</v>
      </c>
      <c r="C1758" s="4">
        <v>504511650</v>
      </c>
      <c r="D1758" s="3" t="s">
        <v>0</v>
      </c>
      <c r="E1758" s="2" t="str">
        <f>"0006304025"</f>
        <v>0006304025</v>
      </c>
      <c r="F1758" s="5">
        <v>43553</v>
      </c>
      <c r="G1758" s="5">
        <v>54789</v>
      </c>
      <c r="H1758" s="4" t="str">
        <f>""</f>
        <v/>
      </c>
      <c r="I1758" s="4" t="str">
        <f>""</f>
        <v/>
      </c>
    </row>
    <row r="1759" spans="1:9" x14ac:dyDescent="0.3">
      <c r="A1759" s="1" t="str">
        <f>"49"</f>
        <v>49</v>
      </c>
      <c r="B1759" s="4" t="str">
        <f>"SARL AEQUO SYSTEME"</f>
        <v>SARL AEQUO SYSTEME</v>
      </c>
      <c r="C1759" s="4">
        <v>504511650</v>
      </c>
      <c r="D1759" s="3" t="s">
        <v>0</v>
      </c>
      <c r="E1759" s="2" t="str">
        <f>"PR4900008D"</f>
        <v>PR4900008D</v>
      </c>
      <c r="F1759" s="5">
        <v>43553</v>
      </c>
      <c r="G1759" s="5">
        <v>54789</v>
      </c>
      <c r="H1759" s="4" t="str">
        <f>""</f>
        <v/>
      </c>
      <c r="I1759" s="4" t="str">
        <f>""</f>
        <v/>
      </c>
    </row>
    <row r="1760" spans="1:9" x14ac:dyDescent="0.3">
      <c r="A1760" s="1" t="str">
        <f>"49"</f>
        <v>49</v>
      </c>
      <c r="B1760" s="4" t="str">
        <f>"SARL CASSE AUTO DAUMERAY"</f>
        <v>SARL CASSE AUTO DAUMERAY</v>
      </c>
      <c r="C1760" s="4">
        <v>532827862</v>
      </c>
      <c r="D1760" s="3" t="s">
        <v>0</v>
      </c>
      <c r="E1760" s="2" t="str">
        <f>"0006302468"</f>
        <v>0006302468</v>
      </c>
      <c r="F1760" s="5">
        <v>43763</v>
      </c>
      <c r="G1760" s="5">
        <v>54789</v>
      </c>
      <c r="H1760" s="4" t="str">
        <f>""</f>
        <v/>
      </c>
      <c r="I1760" s="4" t="str">
        <f>""</f>
        <v/>
      </c>
    </row>
    <row r="1761" spans="1:9" x14ac:dyDescent="0.3">
      <c r="A1761" s="1" t="str">
        <f>"49"</f>
        <v>49</v>
      </c>
      <c r="B1761" s="4" t="str">
        <f>"SARL CASSE AUTO DAUMERAY"</f>
        <v>SARL CASSE AUTO DAUMERAY</v>
      </c>
      <c r="C1761" s="4">
        <v>532827862</v>
      </c>
      <c r="D1761" s="3" t="s">
        <v>0</v>
      </c>
      <c r="E1761" s="2" t="str">
        <f>"PR4900019D"</f>
        <v>PR4900019D</v>
      </c>
      <c r="F1761" s="5">
        <v>41606</v>
      </c>
      <c r="G1761" s="5">
        <v>54789</v>
      </c>
      <c r="H1761" s="4" t="str">
        <f>""</f>
        <v/>
      </c>
      <c r="I1761" s="4" t="str">
        <f>""</f>
        <v/>
      </c>
    </row>
    <row r="1762" spans="1:9" x14ac:dyDescent="0.3">
      <c r="A1762" s="1" t="str">
        <f>"49"</f>
        <v>49</v>
      </c>
      <c r="B1762" s="4" t="str">
        <f>"BRANGEON RECYCLAGE"</f>
        <v>BRANGEON RECYCLAGE</v>
      </c>
      <c r="C1762" s="4">
        <v>622007530</v>
      </c>
      <c r="D1762" s="3" t="s">
        <v>0</v>
      </c>
      <c r="E1762" s="2" t="str">
        <f>"0006302132"</f>
        <v>0006302132</v>
      </c>
      <c r="F1762" s="5">
        <v>43410</v>
      </c>
      <c r="G1762" s="5">
        <v>54789</v>
      </c>
      <c r="H1762" s="4" t="str">
        <f>""</f>
        <v/>
      </c>
      <c r="I1762" s="4" t="str">
        <f>""</f>
        <v/>
      </c>
    </row>
    <row r="1763" spans="1:9" x14ac:dyDescent="0.3">
      <c r="A1763" s="1" t="str">
        <f>"49"</f>
        <v>49</v>
      </c>
      <c r="B1763" s="4" t="str">
        <f>"BRANGEON RECYCLAGE"</f>
        <v>BRANGEON RECYCLAGE</v>
      </c>
      <c r="C1763" s="4">
        <v>622007530</v>
      </c>
      <c r="D1763" s="3" t="s">
        <v>0</v>
      </c>
      <c r="E1763" s="2" t="str">
        <f>"PR4900017D"</f>
        <v>PR4900017D</v>
      </c>
      <c r="F1763" s="5">
        <v>43410</v>
      </c>
      <c r="G1763" s="5">
        <v>54789</v>
      </c>
      <c r="H1763" s="4" t="str">
        <f>""</f>
        <v/>
      </c>
      <c r="I1763" s="4" t="str">
        <f>""</f>
        <v/>
      </c>
    </row>
    <row r="1764" spans="1:9" x14ac:dyDescent="0.3">
      <c r="A1764" s="1" t="str">
        <f>"49"</f>
        <v>49</v>
      </c>
      <c r="B1764" s="4" t="str">
        <f>"GUY DAUPHIN ENVIRONNEMENT"</f>
        <v>GUY DAUPHIN ENVIRONNEMENT</v>
      </c>
      <c r="C1764" s="4">
        <v>653820530</v>
      </c>
      <c r="D1764" s="3" t="s">
        <v>0</v>
      </c>
      <c r="E1764" s="2" t="str">
        <f>"PR4900010D"</f>
        <v>PR4900010D</v>
      </c>
      <c r="F1764" s="5">
        <v>38957</v>
      </c>
      <c r="G1764" s="5">
        <v>54789</v>
      </c>
      <c r="H1764" s="4" t="str">
        <f>""</f>
        <v/>
      </c>
      <c r="I1764" s="4" t="str">
        <f>""</f>
        <v/>
      </c>
    </row>
    <row r="1765" spans="1:9" x14ac:dyDescent="0.3">
      <c r="A1765" s="1" t="str">
        <f>"49"</f>
        <v>49</v>
      </c>
      <c r="B1765" s="4" t="str">
        <f>"SOCIETE GDE-ARO"</f>
        <v>SOCIETE GDE-ARO</v>
      </c>
      <c r="C1765" s="4">
        <v>653820530</v>
      </c>
      <c r="D1765" s="3" t="s">
        <v>0</v>
      </c>
      <c r="E1765" s="2" t="str">
        <f>"PR4900032D"</f>
        <v>PR4900032D</v>
      </c>
      <c r="F1765" s="5">
        <v>43871</v>
      </c>
      <c r="G1765" s="5">
        <v>54789</v>
      </c>
      <c r="H1765" s="4" t="str">
        <f>""</f>
        <v/>
      </c>
      <c r="I1765" s="4" t="str">
        <f>""</f>
        <v/>
      </c>
    </row>
    <row r="1766" spans="1:9" x14ac:dyDescent="0.3">
      <c r="A1766" s="1" t="str">
        <f>"49"</f>
        <v>49</v>
      </c>
      <c r="B1766" s="4" t="str">
        <f>"MAINE RECUPER"</f>
        <v>MAINE RECUPER</v>
      </c>
      <c r="C1766" s="4">
        <v>801565219</v>
      </c>
      <c r="D1766" s="3" t="s">
        <v>0</v>
      </c>
      <c r="E1766" s="2" t="str">
        <f>"PR4900013D"</f>
        <v>PR4900013D</v>
      </c>
      <c r="F1766" s="5">
        <v>42192</v>
      </c>
      <c r="G1766" s="5">
        <v>54789</v>
      </c>
      <c r="H1766" s="4" t="str">
        <f>""</f>
        <v/>
      </c>
      <c r="I1766" s="4" t="str">
        <f>""</f>
        <v/>
      </c>
    </row>
    <row r="1767" spans="1:9" x14ac:dyDescent="0.3">
      <c r="A1767" s="1" t="str">
        <f>"49"</f>
        <v>49</v>
      </c>
      <c r="B1767" s="4" t="str">
        <f>"MAINE RECUPER"</f>
        <v>MAINE RECUPER</v>
      </c>
      <c r="C1767" s="4">
        <v>801565219</v>
      </c>
      <c r="D1767" s="3" t="s">
        <v>0</v>
      </c>
      <c r="E1767" s="2" t="str">
        <f>"0006302484"</f>
        <v>0006302484</v>
      </c>
      <c r="F1767" s="5">
        <v>44312</v>
      </c>
      <c r="G1767" s="5">
        <v>54789</v>
      </c>
      <c r="H1767" s="4" t="str">
        <f>""</f>
        <v/>
      </c>
      <c r="I1767" s="4" t="str">
        <f>""</f>
        <v/>
      </c>
    </row>
    <row r="1768" spans="1:9" x14ac:dyDescent="0.3">
      <c r="A1768" s="1" t="str">
        <f>"49"</f>
        <v>49</v>
      </c>
      <c r="B1768" s="4" t="str">
        <f>"SARL MARCEL NOEL"</f>
        <v>SARL MARCEL NOEL</v>
      </c>
      <c r="C1768" s="4">
        <v>813585122</v>
      </c>
      <c r="D1768" s="3" t="s">
        <v>0</v>
      </c>
      <c r="E1768" s="2" t="str">
        <f>"0006302471"</f>
        <v>0006302471</v>
      </c>
      <c r="F1768" s="5">
        <v>42458</v>
      </c>
      <c r="G1768" s="5">
        <v>54789</v>
      </c>
      <c r="H1768" s="4" t="str">
        <f>""</f>
        <v/>
      </c>
      <c r="I1768" s="4" t="str">
        <f>""</f>
        <v/>
      </c>
    </row>
    <row r="1769" spans="1:9" x14ac:dyDescent="0.3">
      <c r="A1769" s="1" t="str">
        <f>"49"</f>
        <v>49</v>
      </c>
      <c r="B1769" s="4" t="str">
        <f>"SARL MARCEL NOEL"</f>
        <v>SARL MARCEL NOEL</v>
      </c>
      <c r="C1769" s="4">
        <v>813585122</v>
      </c>
      <c r="D1769" s="3" t="s">
        <v>0</v>
      </c>
      <c r="E1769" s="2" t="str">
        <f>"PR4900016D"</f>
        <v>PR4900016D</v>
      </c>
      <c r="F1769" s="5">
        <v>42458</v>
      </c>
      <c r="G1769" s="5">
        <v>54789</v>
      </c>
      <c r="H1769" s="4" t="str">
        <f>""</f>
        <v/>
      </c>
      <c r="I1769" s="4" t="str">
        <f>""</f>
        <v/>
      </c>
    </row>
    <row r="1770" spans="1:9" x14ac:dyDescent="0.3">
      <c r="A1770" s="1" t="str">
        <f>"49"</f>
        <v>49</v>
      </c>
      <c r="B1770" s="4" t="str">
        <f>"CASSE DU HAUT ANJOU SARL"</f>
        <v>CASSE DU HAUT ANJOU SARL</v>
      </c>
      <c r="C1770" s="4">
        <v>921926713</v>
      </c>
      <c r="D1770" s="3" t="s">
        <v>0</v>
      </c>
      <c r="E1770" s="2" t="str">
        <f>"PR4900024D"</f>
        <v>PR4900024D</v>
      </c>
      <c r="F1770" s="5">
        <v>45125</v>
      </c>
      <c r="G1770" s="5">
        <v>54789</v>
      </c>
      <c r="H1770" s="4" t="str">
        <f>""</f>
        <v/>
      </c>
      <c r="I1770" s="4" t="str">
        <f>""</f>
        <v/>
      </c>
    </row>
    <row r="1771" spans="1:9" x14ac:dyDescent="0.3">
      <c r="A1771" s="1" t="str">
        <f>"50"</f>
        <v>50</v>
      </c>
      <c r="B1771" s="4" t="str">
        <f>"PESNEL PHILIPPE"</f>
        <v>PESNEL PHILIPPE</v>
      </c>
      <c r="C1771" s="4">
        <v>324362409</v>
      </c>
      <c r="D1771" s="3" t="s">
        <v>0</v>
      </c>
      <c r="E1771" s="2" t="str">
        <f>"0005301841"</f>
        <v>0005301841</v>
      </c>
      <c r="F1771" s="5">
        <v>43430</v>
      </c>
      <c r="G1771" s="5">
        <v>54789</v>
      </c>
      <c r="H1771" s="4" t="str">
        <f>""</f>
        <v/>
      </c>
      <c r="I1771" s="4" t="str">
        <f>""</f>
        <v/>
      </c>
    </row>
    <row r="1772" spans="1:9" x14ac:dyDescent="0.3">
      <c r="A1772" s="1" t="str">
        <f>"50"</f>
        <v>50</v>
      </c>
      <c r="B1772" s="4" t="str">
        <f>"PESNEL PHILIPPE"</f>
        <v>PESNEL PHILIPPE</v>
      </c>
      <c r="C1772" s="4">
        <v>324362409</v>
      </c>
      <c r="D1772" s="3" t="s">
        <v>0</v>
      </c>
      <c r="E1772" s="2" t="str">
        <f>"PR5000017D"</f>
        <v>PR5000017D</v>
      </c>
      <c r="F1772" s="5">
        <v>43430</v>
      </c>
      <c r="G1772" s="5">
        <v>54789</v>
      </c>
      <c r="H1772" s="4" t="str">
        <f>""</f>
        <v/>
      </c>
      <c r="I1772" s="4" t="str">
        <f>""</f>
        <v/>
      </c>
    </row>
    <row r="1773" spans="1:9" x14ac:dyDescent="0.3">
      <c r="A1773" s="1" t="str">
        <f>"50"</f>
        <v>50</v>
      </c>
      <c r="B1773" s="4" t="str">
        <f>"SOCIETE PASCAL BAZIN"</f>
        <v>SOCIETE PASCAL BAZIN</v>
      </c>
      <c r="C1773" s="4">
        <v>326936770</v>
      </c>
      <c r="D1773" s="3" t="s">
        <v>0</v>
      </c>
      <c r="E1773" s="2" t="str">
        <f>"0003902467"</f>
        <v>0003902467</v>
      </c>
      <c r="F1773" s="5">
        <v>44659</v>
      </c>
      <c r="G1773" s="5">
        <v>54789</v>
      </c>
      <c r="H1773" s="4" t="str">
        <f>""</f>
        <v/>
      </c>
      <c r="I1773" s="4" t="str">
        <f>""</f>
        <v/>
      </c>
    </row>
    <row r="1774" spans="1:9" x14ac:dyDescent="0.3">
      <c r="A1774" s="1" t="str">
        <f>"50"</f>
        <v>50</v>
      </c>
      <c r="B1774" s="4" t="str">
        <f>"SOCIETE PASCAL BAZIN"</f>
        <v>SOCIETE PASCAL BAZIN</v>
      </c>
      <c r="C1774" s="4">
        <v>326936770</v>
      </c>
      <c r="D1774" s="3" t="s">
        <v>0</v>
      </c>
      <c r="E1774" s="2" t="str">
        <f>"PR5000042D"</f>
        <v>PR5000042D</v>
      </c>
      <c r="F1774" s="5">
        <v>44659</v>
      </c>
      <c r="G1774" s="5">
        <v>54789</v>
      </c>
      <c r="H1774" s="4" t="str">
        <f>""</f>
        <v/>
      </c>
      <c r="I1774" s="4" t="str">
        <f>""</f>
        <v/>
      </c>
    </row>
    <row r="1775" spans="1:9" x14ac:dyDescent="0.3">
      <c r="A1775" s="1" t="str">
        <f>"50"</f>
        <v>50</v>
      </c>
      <c r="B1775" s="4" t="str">
        <f>"SARL RAUVILLE"</f>
        <v>SARL RAUVILLE</v>
      </c>
      <c r="C1775" s="4">
        <v>328595178</v>
      </c>
      <c r="D1775" s="3" t="s">
        <v>0</v>
      </c>
      <c r="E1775" s="2" t="str">
        <f>"PR5000010D"</f>
        <v>PR5000010D</v>
      </c>
      <c r="F1775" s="5">
        <v>41095</v>
      </c>
      <c r="G1775" s="5">
        <v>54789</v>
      </c>
      <c r="H1775" s="4" t="str">
        <f>""</f>
        <v/>
      </c>
      <c r="I1775" s="4" t="str">
        <f>""</f>
        <v/>
      </c>
    </row>
    <row r="1776" spans="1:9" x14ac:dyDescent="0.3">
      <c r="A1776" s="1" t="str">
        <f>"50"</f>
        <v>50</v>
      </c>
      <c r="B1776" s="4" t="str">
        <f>"SARL RAUVILLE"</f>
        <v>SARL RAUVILLE</v>
      </c>
      <c r="C1776" s="4">
        <v>328595178</v>
      </c>
      <c r="D1776" s="3" t="s">
        <v>0</v>
      </c>
      <c r="E1776" s="2" t="str">
        <f>"0005302986"</f>
        <v>0005302986</v>
      </c>
      <c r="F1776" s="5">
        <v>41095</v>
      </c>
      <c r="G1776" s="5">
        <v>54789</v>
      </c>
      <c r="H1776" s="4" t="str">
        <f>""</f>
        <v/>
      </c>
      <c r="I1776" s="4" t="str">
        <f>""</f>
        <v/>
      </c>
    </row>
    <row r="1777" spans="1:9" x14ac:dyDescent="0.3">
      <c r="A1777" s="1" t="str">
        <f>"50"</f>
        <v>50</v>
      </c>
      <c r="B1777" s="4" t="str">
        <f>"SARL ARCD"</f>
        <v>SARL ARCD</v>
      </c>
      <c r="C1777" s="4">
        <v>339370561</v>
      </c>
      <c r="D1777" s="3" t="s">
        <v>0</v>
      </c>
      <c r="E1777" s="2" t="str">
        <f>"0005303098"</f>
        <v>0005303098</v>
      </c>
      <c r="F1777" s="5">
        <v>42867</v>
      </c>
      <c r="G1777" s="5">
        <v>54789</v>
      </c>
      <c r="H1777" s="4" t="str">
        <f>""</f>
        <v/>
      </c>
      <c r="I1777" s="4" t="str">
        <f>""</f>
        <v/>
      </c>
    </row>
    <row r="1778" spans="1:9" x14ac:dyDescent="0.3">
      <c r="A1778" s="1" t="str">
        <f>"50"</f>
        <v>50</v>
      </c>
      <c r="B1778" s="4" t="str">
        <f>"SARL ARCD"</f>
        <v>SARL ARCD</v>
      </c>
      <c r="C1778" s="4">
        <v>339370561</v>
      </c>
      <c r="D1778" s="3" t="s">
        <v>0</v>
      </c>
      <c r="E1778" s="2" t="str">
        <f>"PR5000032D"</f>
        <v>PR5000032D</v>
      </c>
      <c r="F1778" s="5">
        <v>42867</v>
      </c>
      <c r="G1778" s="5">
        <v>54789</v>
      </c>
      <c r="H1778" s="4" t="str">
        <f>""</f>
        <v/>
      </c>
      <c r="I1778" s="4" t="str">
        <f>""</f>
        <v/>
      </c>
    </row>
    <row r="1779" spans="1:9" x14ac:dyDescent="0.3">
      <c r="A1779" s="1" t="str">
        <f>"50"</f>
        <v>50</v>
      </c>
      <c r="B1779" s="4" t="str">
        <f>"SARL ARCD"</f>
        <v>SARL ARCD</v>
      </c>
      <c r="C1779" s="4">
        <v>339370561</v>
      </c>
      <c r="D1779" s="3" t="s">
        <v>0</v>
      </c>
      <c r="E1779" s="2" t="str">
        <f>"PR5000036D"</f>
        <v>PR5000036D</v>
      </c>
      <c r="F1779" s="5">
        <v>43131</v>
      </c>
      <c r="G1779" s="5">
        <v>54789</v>
      </c>
      <c r="H1779" s="4" t="str">
        <f>""</f>
        <v/>
      </c>
      <c r="I1779" s="4" t="str">
        <f>""</f>
        <v/>
      </c>
    </row>
    <row r="1780" spans="1:9" x14ac:dyDescent="0.3">
      <c r="A1780" s="1" t="str">
        <f>"50"</f>
        <v>50</v>
      </c>
      <c r="B1780" s="4" t="str">
        <f>"SARL ARCD"</f>
        <v>SARL ARCD</v>
      </c>
      <c r="C1780" s="4">
        <v>339370561</v>
      </c>
      <c r="D1780" s="3" t="s">
        <v>0</v>
      </c>
      <c r="E1780" s="2" t="str">
        <f>"0005301435"</f>
        <v>0005301435</v>
      </c>
      <c r="F1780" s="5">
        <v>43131</v>
      </c>
      <c r="G1780" s="5">
        <v>54789</v>
      </c>
      <c r="H1780" s="4" t="str">
        <f>""</f>
        <v/>
      </c>
      <c r="I1780" s="4" t="str">
        <f>""</f>
        <v/>
      </c>
    </row>
    <row r="1781" spans="1:9" x14ac:dyDescent="0.3">
      <c r="A1781" s="1" t="str">
        <f>"50"</f>
        <v>50</v>
      </c>
      <c r="B1781" s="4" t="str">
        <f>"SIREC"</f>
        <v>SIREC</v>
      </c>
      <c r="C1781" s="4">
        <v>344834775</v>
      </c>
      <c r="D1781" s="3" t="s">
        <v>0</v>
      </c>
      <c r="E1781" s="2" t="str">
        <f>"PR5000001B"</f>
        <v>PR5000001B</v>
      </c>
      <c r="F1781" s="5">
        <v>38920</v>
      </c>
      <c r="G1781" s="5">
        <v>54789</v>
      </c>
      <c r="H1781" s="4" t="str">
        <f>""</f>
        <v/>
      </c>
      <c r="I1781" s="4" t="str">
        <f>""</f>
        <v/>
      </c>
    </row>
    <row r="1782" spans="1:9" x14ac:dyDescent="0.3">
      <c r="A1782" s="1" t="str">
        <f>"50"</f>
        <v>50</v>
      </c>
      <c r="B1782" s="4" t="str">
        <f>"SIREC"</f>
        <v>SIREC</v>
      </c>
      <c r="C1782" s="4">
        <v>344834775</v>
      </c>
      <c r="D1782" s="3" t="s">
        <v>0</v>
      </c>
      <c r="E1782" s="2" t="str">
        <f>"PR5000014D"</f>
        <v>PR5000014D</v>
      </c>
      <c r="F1782" s="5">
        <v>38918</v>
      </c>
      <c r="G1782" s="5">
        <v>54789</v>
      </c>
      <c r="H1782" s="4" t="str">
        <f>""</f>
        <v/>
      </c>
      <c r="I1782" s="4" t="str">
        <f>""</f>
        <v/>
      </c>
    </row>
    <row r="1783" spans="1:9" x14ac:dyDescent="0.3">
      <c r="A1783" s="1" t="str">
        <f>"50"</f>
        <v>50</v>
      </c>
      <c r="B1783" s="4" t="str">
        <f>"SAS SIREC"</f>
        <v>SAS SIREC</v>
      </c>
      <c r="C1783" s="4">
        <v>344834775</v>
      </c>
      <c r="D1783" s="3" t="s">
        <v>0</v>
      </c>
      <c r="E1783" s="2" t="str">
        <f>"PR5000026D"</f>
        <v>PR5000026D</v>
      </c>
      <c r="F1783" s="5">
        <v>41111</v>
      </c>
      <c r="G1783" s="5">
        <v>54789</v>
      </c>
      <c r="H1783" s="4" t="str">
        <f>""</f>
        <v/>
      </c>
      <c r="I1783" s="4" t="str">
        <f>""</f>
        <v/>
      </c>
    </row>
    <row r="1784" spans="1:9" x14ac:dyDescent="0.3">
      <c r="A1784" s="1" t="str">
        <f>"50"</f>
        <v>50</v>
      </c>
      <c r="B1784" s="4" t="str">
        <f>"SARL RVA ALAIN ERMISSE"</f>
        <v>SARL RVA ALAIN ERMISSE</v>
      </c>
      <c r="C1784" s="4">
        <v>379102429</v>
      </c>
      <c r="D1784" s="3" t="s">
        <v>0</v>
      </c>
      <c r="E1784" s="2" t="str">
        <f>"0005303553"</f>
        <v>0005303553</v>
      </c>
      <c r="F1784" s="5">
        <v>38866</v>
      </c>
      <c r="G1784" s="5">
        <v>54789</v>
      </c>
      <c r="H1784" s="4" t="str">
        <f>""</f>
        <v/>
      </c>
      <c r="I1784" s="4" t="str">
        <f>""</f>
        <v/>
      </c>
    </row>
    <row r="1785" spans="1:9" x14ac:dyDescent="0.3">
      <c r="A1785" s="1" t="str">
        <f>"50"</f>
        <v>50</v>
      </c>
      <c r="B1785" s="4" t="str">
        <f>"SARL RVA ALAIN ERMISSE"</f>
        <v>SARL RVA ALAIN ERMISSE</v>
      </c>
      <c r="C1785" s="4">
        <v>379102429</v>
      </c>
      <c r="D1785" s="3" t="s">
        <v>0</v>
      </c>
      <c r="E1785" s="2" t="str">
        <f>"PR5000008D"</f>
        <v>PR5000008D</v>
      </c>
      <c r="F1785" s="5">
        <v>38866</v>
      </c>
      <c r="G1785" s="5">
        <v>54789</v>
      </c>
      <c r="H1785" s="4" t="str">
        <f>""</f>
        <v/>
      </c>
      <c r="I1785" s="4" t="str">
        <f>""</f>
        <v/>
      </c>
    </row>
    <row r="1786" spans="1:9" x14ac:dyDescent="0.3">
      <c r="A1786" s="1" t="str">
        <f>"50"</f>
        <v>50</v>
      </c>
      <c r="B1786" s="4" t="str">
        <f>"SOCIETE DUVAL"</f>
        <v>SOCIETE DUVAL</v>
      </c>
      <c r="C1786" s="4">
        <v>385029962</v>
      </c>
      <c r="D1786" s="3" t="s">
        <v>0</v>
      </c>
      <c r="E1786" s="2" t="str">
        <f>"PR5000016D"</f>
        <v>PR5000016D</v>
      </c>
      <c r="F1786" s="5">
        <v>39036</v>
      </c>
      <c r="G1786" s="5">
        <v>54789</v>
      </c>
      <c r="H1786" s="4" t="str">
        <f>""</f>
        <v/>
      </c>
      <c r="I1786" s="4" t="str">
        <f>""</f>
        <v/>
      </c>
    </row>
    <row r="1787" spans="1:9" x14ac:dyDescent="0.3">
      <c r="A1787" s="1" t="str">
        <f>"50"</f>
        <v>50</v>
      </c>
      <c r="B1787" s="4" t="str">
        <f>"SOCIETE DUVAL"</f>
        <v>SOCIETE DUVAL</v>
      </c>
      <c r="C1787" s="4">
        <v>385029962</v>
      </c>
      <c r="D1787" s="3" t="s">
        <v>0</v>
      </c>
      <c r="E1787" s="2" t="str">
        <f>"0005301960"</f>
        <v>0005301960</v>
      </c>
      <c r="F1787" s="5">
        <v>39036</v>
      </c>
      <c r="G1787" s="5">
        <v>54789</v>
      </c>
      <c r="H1787" s="4" t="str">
        <f>""</f>
        <v/>
      </c>
      <c r="I1787" s="4" t="str">
        <f>""</f>
        <v/>
      </c>
    </row>
    <row r="1788" spans="1:9" x14ac:dyDescent="0.3">
      <c r="A1788" s="1" t="str">
        <f>"50"</f>
        <v>50</v>
      </c>
      <c r="B1788" s="4" t="str">
        <f>"COTENTIN AUTO PIECES 50"</f>
        <v>COTENTIN AUTO PIECES 50</v>
      </c>
      <c r="C1788" s="4">
        <v>388722076</v>
      </c>
      <c r="D1788" s="3" t="s">
        <v>0</v>
      </c>
      <c r="E1788" s="2" t="str">
        <f>"0005301992"</f>
        <v>0005301992</v>
      </c>
      <c r="F1788" s="5">
        <v>43300</v>
      </c>
      <c r="G1788" s="5">
        <v>54789</v>
      </c>
      <c r="H1788" s="4" t="str">
        <f>""</f>
        <v/>
      </c>
      <c r="I1788" s="4" t="str">
        <f>""</f>
        <v/>
      </c>
    </row>
    <row r="1789" spans="1:9" x14ac:dyDescent="0.3">
      <c r="A1789" s="1" t="str">
        <f>"50"</f>
        <v>50</v>
      </c>
      <c r="B1789" s="4" t="str">
        <f>"COTENTIN AUTO PIECES 50"</f>
        <v>COTENTIN AUTO PIECES 50</v>
      </c>
      <c r="C1789" s="4">
        <v>388722076</v>
      </c>
      <c r="D1789" s="3" t="s">
        <v>0</v>
      </c>
      <c r="E1789" s="2" t="str">
        <f>"PR5000009D"</f>
        <v>PR5000009D</v>
      </c>
      <c r="F1789" s="5">
        <v>43300</v>
      </c>
      <c r="G1789" s="5">
        <v>54789</v>
      </c>
      <c r="H1789" s="4" t="str">
        <f>""</f>
        <v/>
      </c>
      <c r="I1789" s="4" t="str">
        <f>""</f>
        <v/>
      </c>
    </row>
    <row r="1790" spans="1:9" x14ac:dyDescent="0.3">
      <c r="A1790" s="1" t="str">
        <f>"50"</f>
        <v>50</v>
      </c>
      <c r="B1790" s="4" t="str">
        <f>"SAS SPHERE"</f>
        <v>SAS SPHERE</v>
      </c>
      <c r="C1790" s="4">
        <v>393568829</v>
      </c>
      <c r="D1790" s="3" t="s">
        <v>0</v>
      </c>
      <c r="E1790" s="2" t="str">
        <f>"0003900807"</f>
        <v>0003900807</v>
      </c>
      <c r="F1790" s="5">
        <v>43455</v>
      </c>
      <c r="G1790" s="5">
        <v>54789</v>
      </c>
      <c r="H1790" s="4" t="str">
        <f>""</f>
        <v/>
      </c>
      <c r="I1790" s="4" t="str">
        <f>""</f>
        <v/>
      </c>
    </row>
    <row r="1791" spans="1:9" x14ac:dyDescent="0.3">
      <c r="A1791" s="1" t="str">
        <f>"50"</f>
        <v>50</v>
      </c>
      <c r="B1791" s="4" t="str">
        <f>"SAS SPHERE"</f>
        <v>SAS SPHERE</v>
      </c>
      <c r="C1791" s="4">
        <v>393568829</v>
      </c>
      <c r="D1791" s="3" t="s">
        <v>0</v>
      </c>
      <c r="E1791" s="2" t="str">
        <f>"PR5000037D"</f>
        <v>PR5000037D</v>
      </c>
      <c r="F1791" s="5">
        <v>43455</v>
      </c>
      <c r="G1791" s="5">
        <v>54789</v>
      </c>
      <c r="H1791" s="4" t="str">
        <f>""</f>
        <v/>
      </c>
      <c r="I1791" s="4" t="str">
        <f>""</f>
        <v/>
      </c>
    </row>
    <row r="1792" spans="1:9" x14ac:dyDescent="0.3">
      <c r="A1792" s="1" t="str">
        <f>"50"</f>
        <v>50</v>
      </c>
      <c r="B1792" s="4" t="str">
        <f>"EMMANUEL MARTIN"</f>
        <v>EMMANUEL MARTIN</v>
      </c>
      <c r="C1792" s="4">
        <v>393586599</v>
      </c>
      <c r="D1792" s="3" t="s">
        <v>0</v>
      </c>
      <c r="E1792" s="2" t="str">
        <f>"0005301627"</f>
        <v>0005301627</v>
      </c>
      <c r="F1792" s="5">
        <v>43467</v>
      </c>
      <c r="G1792" s="5">
        <v>54789</v>
      </c>
      <c r="H1792" s="4" t="str">
        <f>""</f>
        <v/>
      </c>
      <c r="I1792" s="4" t="str">
        <f>""</f>
        <v/>
      </c>
    </row>
    <row r="1793" spans="1:9" x14ac:dyDescent="0.3">
      <c r="A1793" s="1" t="str">
        <f>"50"</f>
        <v>50</v>
      </c>
      <c r="B1793" s="4" t="str">
        <f>"EMMANUEL MARTIN"</f>
        <v>EMMANUEL MARTIN</v>
      </c>
      <c r="C1793" s="4">
        <v>393586599</v>
      </c>
      <c r="D1793" s="3" t="s">
        <v>0</v>
      </c>
      <c r="E1793" s="2" t="str">
        <f>"PR5000038D"</f>
        <v>PR5000038D</v>
      </c>
      <c r="F1793" s="5">
        <v>43467</v>
      </c>
      <c r="G1793" s="5">
        <v>54789</v>
      </c>
      <c r="H1793" s="4" t="str">
        <f>""</f>
        <v/>
      </c>
      <c r="I1793" s="4" t="str">
        <f>""</f>
        <v/>
      </c>
    </row>
    <row r="1794" spans="1:9" x14ac:dyDescent="0.3">
      <c r="A1794" s="1" t="str">
        <f>"50"</f>
        <v>50</v>
      </c>
      <c r="B1794" s="4" t="str">
        <f>"LAINE Roger"</f>
        <v>LAINE Roger</v>
      </c>
      <c r="C1794" s="4">
        <v>401344734</v>
      </c>
      <c r="D1794" s="3" t="s">
        <v>0</v>
      </c>
      <c r="E1794" s="2" t="str">
        <f>"0005304557"</f>
        <v>0005304557</v>
      </c>
      <c r="F1794" s="5">
        <v>42948</v>
      </c>
      <c r="G1794" s="5">
        <v>54789</v>
      </c>
      <c r="H1794" s="4" t="str">
        <f>""</f>
        <v/>
      </c>
      <c r="I1794" s="4" t="str">
        <f>""</f>
        <v/>
      </c>
    </row>
    <row r="1795" spans="1:9" x14ac:dyDescent="0.3">
      <c r="A1795" s="1" t="str">
        <f>"50"</f>
        <v>50</v>
      </c>
      <c r="B1795" s="4" t="str">
        <f>"LAINE Roger"</f>
        <v>LAINE Roger</v>
      </c>
      <c r="C1795" s="4">
        <v>401344734</v>
      </c>
      <c r="D1795" s="3" t="s">
        <v>0</v>
      </c>
      <c r="E1795" s="2" t="str">
        <f>"PR5000035D"</f>
        <v>PR5000035D</v>
      </c>
      <c r="F1795" s="5">
        <v>42948</v>
      </c>
      <c r="G1795" s="5">
        <v>54789</v>
      </c>
      <c r="H1795" s="4" t="str">
        <f>""</f>
        <v/>
      </c>
      <c r="I1795" s="4" t="str">
        <f>""</f>
        <v/>
      </c>
    </row>
    <row r="1796" spans="1:9" x14ac:dyDescent="0.3">
      <c r="A1796" s="1" t="str">
        <f>"50"</f>
        <v>50</v>
      </c>
      <c r="B1796" s="4" t="str">
        <f>"EURL 2RM"</f>
        <v>EURL 2RM</v>
      </c>
      <c r="C1796" s="4">
        <v>412376618</v>
      </c>
      <c r="D1796" s="3" t="s">
        <v>0</v>
      </c>
      <c r="E1796" s="2" t="str">
        <f>"0005302906"</f>
        <v>0005302906</v>
      </c>
      <c r="F1796" s="5">
        <v>38866</v>
      </c>
      <c r="G1796" s="5">
        <v>54789</v>
      </c>
      <c r="H1796" s="4" t="str">
        <f>""</f>
        <v/>
      </c>
      <c r="I1796" s="4" t="str">
        <f>""</f>
        <v/>
      </c>
    </row>
    <row r="1797" spans="1:9" x14ac:dyDescent="0.3">
      <c r="A1797" s="1" t="str">
        <f>"50"</f>
        <v>50</v>
      </c>
      <c r="B1797" s="4" t="str">
        <f>"EURL 2RM"</f>
        <v>EURL 2RM</v>
      </c>
      <c r="C1797" s="4">
        <v>412376618</v>
      </c>
      <c r="D1797" s="3" t="s">
        <v>0</v>
      </c>
      <c r="E1797" s="2" t="str">
        <f>"PR5000004D"</f>
        <v>PR5000004D</v>
      </c>
      <c r="F1797" s="5">
        <v>38866</v>
      </c>
      <c r="G1797" s="5">
        <v>54789</v>
      </c>
      <c r="H1797" s="4" t="str">
        <f>""</f>
        <v/>
      </c>
      <c r="I1797" s="4" t="str">
        <f>""</f>
        <v/>
      </c>
    </row>
    <row r="1798" spans="1:9" x14ac:dyDescent="0.3">
      <c r="A1798" s="1" t="str">
        <f>"50"</f>
        <v>50</v>
      </c>
      <c r="B1798" s="4" t="str">
        <f>"LEBOURGEOIS-JOURDAN"</f>
        <v>LEBOURGEOIS-JOURDAN</v>
      </c>
      <c r="C1798" s="4">
        <v>429350861</v>
      </c>
      <c r="D1798" s="3" t="s">
        <v>0</v>
      </c>
      <c r="E1798" s="2" t="str">
        <f>"0005301578"</f>
        <v>0005301578</v>
      </c>
      <c r="F1798" s="5">
        <v>38866</v>
      </c>
      <c r="G1798" s="5">
        <v>54789</v>
      </c>
      <c r="H1798" s="4" t="str">
        <f>""</f>
        <v/>
      </c>
      <c r="I1798" s="4" t="str">
        <f>""</f>
        <v/>
      </c>
    </row>
    <row r="1799" spans="1:9" x14ac:dyDescent="0.3">
      <c r="A1799" s="1" t="str">
        <f>"50"</f>
        <v>50</v>
      </c>
      <c r="B1799" s="4" t="str">
        <f>"LEBOURGEOIS-JOURDAN"</f>
        <v>LEBOURGEOIS-JOURDAN</v>
      </c>
      <c r="C1799" s="4">
        <v>429350861</v>
      </c>
      <c r="D1799" s="3" t="s">
        <v>0</v>
      </c>
      <c r="E1799" s="2" t="str">
        <f>"PR5000002D"</f>
        <v>PR5000002D</v>
      </c>
      <c r="F1799" s="5">
        <v>38866</v>
      </c>
      <c r="G1799" s="5">
        <v>54789</v>
      </c>
      <c r="H1799" s="4" t="str">
        <f>""</f>
        <v/>
      </c>
      <c r="I1799" s="4" t="str">
        <f>""</f>
        <v/>
      </c>
    </row>
    <row r="1800" spans="1:9" x14ac:dyDescent="0.3">
      <c r="A1800" s="1" t="str">
        <f>"50"</f>
        <v>50</v>
      </c>
      <c r="B1800" s="4" t="str">
        <f>"SARL DOUBLET"</f>
        <v>SARL DOUBLET</v>
      </c>
      <c r="C1800" s="4">
        <v>435278551</v>
      </c>
      <c r="D1800" s="3" t="s">
        <v>0</v>
      </c>
      <c r="E1800" s="2" t="str">
        <f>"PR5000019D"</f>
        <v>PR5000019D</v>
      </c>
      <c r="F1800" s="5">
        <v>39372</v>
      </c>
      <c r="G1800" s="5">
        <v>54789</v>
      </c>
      <c r="H1800" s="4" t="str">
        <f>""</f>
        <v/>
      </c>
      <c r="I1800" s="4" t="str">
        <f>""</f>
        <v/>
      </c>
    </row>
    <row r="1801" spans="1:9" x14ac:dyDescent="0.3">
      <c r="A1801" s="1" t="str">
        <f>"50"</f>
        <v>50</v>
      </c>
      <c r="B1801" s="4" t="str">
        <f>"SARL BMM"</f>
        <v>SARL BMM</v>
      </c>
      <c r="C1801" s="4">
        <v>487507592</v>
      </c>
      <c r="D1801" s="3" t="s">
        <v>0</v>
      </c>
      <c r="E1801" s="2" t="str">
        <f>"0005306411"</f>
        <v>0005306411</v>
      </c>
      <c r="F1801" s="5">
        <v>42833</v>
      </c>
      <c r="G1801" s="5">
        <v>54789</v>
      </c>
      <c r="H1801" s="4" t="str">
        <f>""</f>
        <v/>
      </c>
      <c r="I1801" s="4" t="str">
        <f>""</f>
        <v/>
      </c>
    </row>
    <row r="1802" spans="1:9" x14ac:dyDescent="0.3">
      <c r="A1802" s="1" t="str">
        <f>"50"</f>
        <v>50</v>
      </c>
      <c r="B1802" s="4" t="str">
        <f>"SARL BMM"</f>
        <v>SARL BMM</v>
      </c>
      <c r="C1802" s="4">
        <v>487507592</v>
      </c>
      <c r="D1802" s="3" t="s">
        <v>0</v>
      </c>
      <c r="E1802" s="2" t="str">
        <f>"PR5000030D"</f>
        <v>PR5000030D</v>
      </c>
      <c r="F1802" s="5">
        <v>42833</v>
      </c>
      <c r="G1802" s="5">
        <v>54789</v>
      </c>
      <c r="H1802" s="4" t="str">
        <f>""</f>
        <v/>
      </c>
      <c r="I1802" s="4" t="str">
        <f>""</f>
        <v/>
      </c>
    </row>
    <row r="1803" spans="1:9" x14ac:dyDescent="0.3">
      <c r="A1803" s="1" t="str">
        <f>"50"</f>
        <v>50</v>
      </c>
      <c r="B1803" s="4" t="str">
        <f>"SUEZ RV MNF"</f>
        <v>SUEZ RV MNF</v>
      </c>
      <c r="C1803" s="4">
        <v>489140178</v>
      </c>
      <c r="D1803" s="3" t="s">
        <v>0</v>
      </c>
      <c r="E1803" s="2" t="str">
        <f>"0005301536"</f>
        <v>0005301536</v>
      </c>
      <c r="F1803" s="5">
        <v>44872</v>
      </c>
      <c r="G1803" s="5">
        <v>54789</v>
      </c>
      <c r="H1803" s="4" t="str">
        <f>""</f>
        <v/>
      </c>
      <c r="I1803" s="4" t="str">
        <f>""</f>
        <v/>
      </c>
    </row>
    <row r="1804" spans="1:9" x14ac:dyDescent="0.3">
      <c r="A1804" s="1" t="str">
        <f>"50"</f>
        <v>50</v>
      </c>
      <c r="B1804" s="4" t="str">
        <f>"SUEZ RV MNF"</f>
        <v>SUEZ RV MNF</v>
      </c>
      <c r="C1804" s="4">
        <v>489140178</v>
      </c>
      <c r="D1804" s="3" t="s">
        <v>0</v>
      </c>
      <c r="E1804" s="2" t="str">
        <f>"PR5000043D"</f>
        <v>PR5000043D</v>
      </c>
      <c r="F1804" s="5">
        <v>44872</v>
      </c>
      <c r="G1804" s="5">
        <v>54789</v>
      </c>
      <c r="H1804" s="4" t="str">
        <f>""</f>
        <v/>
      </c>
      <c r="I1804" s="4" t="str">
        <f>""</f>
        <v/>
      </c>
    </row>
    <row r="1805" spans="1:9" x14ac:dyDescent="0.3">
      <c r="A1805" s="1" t="str">
        <f>"50"</f>
        <v>50</v>
      </c>
      <c r="B1805" s="4" t="str">
        <f>"MARIE DIDIER AUTOMOBILES SAS"</f>
        <v>MARIE DIDIER AUTOMOBILES SAS</v>
      </c>
      <c r="C1805" s="4">
        <v>490638889</v>
      </c>
      <c r="D1805" s="3" t="s">
        <v>0</v>
      </c>
      <c r="E1805" s="2" t="str">
        <f>"0005301634"</f>
        <v>0005301634</v>
      </c>
      <c r="F1805" s="5">
        <v>38855</v>
      </c>
      <c r="G1805" s="5">
        <v>54789</v>
      </c>
      <c r="H1805" s="4" t="str">
        <f>""</f>
        <v/>
      </c>
      <c r="I1805" s="4" t="str">
        <f>""</f>
        <v/>
      </c>
    </row>
    <row r="1806" spans="1:9" x14ac:dyDescent="0.3">
      <c r="A1806" s="1" t="str">
        <f>"50"</f>
        <v>50</v>
      </c>
      <c r="B1806" s="4" t="str">
        <f>"MARIE DIDIER AUTOMOBILES SAS"</f>
        <v>MARIE DIDIER AUTOMOBILES SAS</v>
      </c>
      <c r="C1806" s="4">
        <v>490638889</v>
      </c>
      <c r="D1806" s="3" t="s">
        <v>0</v>
      </c>
      <c r="E1806" s="2" t="str">
        <f>"PR5000001D"</f>
        <v>PR5000001D</v>
      </c>
      <c r="F1806" s="5">
        <v>38855</v>
      </c>
      <c r="G1806" s="5">
        <v>54789</v>
      </c>
      <c r="H1806" s="4" t="str">
        <f>""</f>
        <v/>
      </c>
      <c r="I1806" s="4" t="str">
        <f>""</f>
        <v/>
      </c>
    </row>
    <row r="1807" spans="1:9" x14ac:dyDescent="0.3">
      <c r="A1807" s="1" t="str">
        <f>"50"</f>
        <v>50</v>
      </c>
      <c r="B1807" s="4" t="str">
        <f>"SAS MIGNOT AUTO PIECE"</f>
        <v>SAS MIGNOT AUTO PIECE</v>
      </c>
      <c r="C1807" s="4">
        <v>493226237</v>
      </c>
      <c r="D1807" s="3" t="s">
        <v>0</v>
      </c>
      <c r="E1807" s="2" t="str">
        <f>"0005301916"</f>
        <v>0005301916</v>
      </c>
      <c r="F1807" s="5">
        <v>42318</v>
      </c>
      <c r="G1807" s="5">
        <v>54789</v>
      </c>
      <c r="H1807" s="4" t="str">
        <f>""</f>
        <v/>
      </c>
      <c r="I1807" s="4" t="str">
        <f>""</f>
        <v/>
      </c>
    </row>
    <row r="1808" spans="1:9" x14ac:dyDescent="0.3">
      <c r="A1808" s="1" t="str">
        <f>"50"</f>
        <v>50</v>
      </c>
      <c r="B1808" s="4" t="str">
        <f>"SAS MIGNOT AUTO PIECE"</f>
        <v>SAS MIGNOT AUTO PIECE</v>
      </c>
      <c r="C1808" s="4">
        <v>493226237</v>
      </c>
      <c r="D1808" s="3" t="s">
        <v>0</v>
      </c>
      <c r="E1808" s="2" t="str">
        <f>"PR5000029D"</f>
        <v>PR5000029D</v>
      </c>
      <c r="F1808" s="5">
        <v>42318</v>
      </c>
      <c r="G1808" s="5">
        <v>54789</v>
      </c>
      <c r="H1808" s="4" t="str">
        <f>""</f>
        <v/>
      </c>
      <c r="I1808" s="4" t="str">
        <f>""</f>
        <v/>
      </c>
    </row>
    <row r="1809" spans="1:9" x14ac:dyDescent="0.3">
      <c r="A1809" s="1" t="str">
        <f>"50"</f>
        <v>50</v>
      </c>
      <c r="B1809" s="4" t="str">
        <f>"SARL REBILLION"</f>
        <v>SARL REBILLION</v>
      </c>
      <c r="C1809" s="4">
        <v>504231127</v>
      </c>
      <c r="D1809" s="3" t="s">
        <v>0</v>
      </c>
      <c r="E1809" s="2" t="str">
        <f>"0005305720"</f>
        <v>0005305720</v>
      </c>
      <c r="F1809" s="5">
        <v>42887</v>
      </c>
      <c r="G1809" s="5">
        <v>54789</v>
      </c>
      <c r="H1809" s="4" t="str">
        <f>""</f>
        <v/>
      </c>
      <c r="I1809" s="4" t="str">
        <f>""</f>
        <v/>
      </c>
    </row>
    <row r="1810" spans="1:9" x14ac:dyDescent="0.3">
      <c r="A1810" s="1" t="str">
        <f>"50"</f>
        <v>50</v>
      </c>
      <c r="B1810" s="4" t="str">
        <f>"SARL REBILLION"</f>
        <v>SARL REBILLION</v>
      </c>
      <c r="C1810" s="4">
        <v>504231127</v>
      </c>
      <c r="D1810" s="3" t="s">
        <v>0</v>
      </c>
      <c r="E1810" s="2" t="str">
        <f>"PR5000034D"</f>
        <v>PR5000034D</v>
      </c>
      <c r="F1810" s="5">
        <v>42887</v>
      </c>
      <c r="G1810" s="5">
        <v>54789</v>
      </c>
      <c r="H1810" s="4" t="str">
        <f>""</f>
        <v/>
      </c>
      <c r="I1810" s="4" t="str">
        <f>""</f>
        <v/>
      </c>
    </row>
    <row r="1811" spans="1:9" x14ac:dyDescent="0.3">
      <c r="A1811" s="1" t="str">
        <f>"50"</f>
        <v>50</v>
      </c>
      <c r="B1811" s="4" t="str">
        <f>"PARIS RECYCLAGE AUTOMOBILE"</f>
        <v>PARIS RECYCLAGE AUTOMOBILE</v>
      </c>
      <c r="C1811" s="4">
        <v>511287716</v>
      </c>
      <c r="D1811" s="3" t="s">
        <v>0</v>
      </c>
      <c r="E1811" s="2" t="str">
        <f>"0005301946"</f>
        <v>0005301946</v>
      </c>
      <c r="F1811" s="5">
        <v>38866</v>
      </c>
      <c r="G1811" s="5">
        <v>54789</v>
      </c>
      <c r="H1811" s="4" t="str">
        <f>""</f>
        <v/>
      </c>
      <c r="I1811" s="4" t="str">
        <f>""</f>
        <v/>
      </c>
    </row>
    <row r="1812" spans="1:9" x14ac:dyDescent="0.3">
      <c r="A1812" s="1" t="str">
        <f>"50"</f>
        <v>50</v>
      </c>
      <c r="B1812" s="4" t="str">
        <f>"PARIS RECYCLAGE AUTOMOBILE"</f>
        <v>PARIS RECYCLAGE AUTOMOBILE</v>
      </c>
      <c r="C1812" s="4">
        <v>511287716</v>
      </c>
      <c r="D1812" s="3" t="s">
        <v>0</v>
      </c>
      <c r="E1812" s="2" t="str">
        <f>"PR5000006D"</f>
        <v>PR5000006D</v>
      </c>
      <c r="F1812" s="5">
        <v>38866</v>
      </c>
      <c r="G1812" s="5">
        <v>54789</v>
      </c>
      <c r="H1812" s="4" t="str">
        <f>""</f>
        <v/>
      </c>
      <c r="I1812" s="4" t="str">
        <f>""</f>
        <v/>
      </c>
    </row>
    <row r="1813" spans="1:9" x14ac:dyDescent="0.3">
      <c r="A1813" s="1" t="str">
        <f>"50"</f>
        <v>50</v>
      </c>
      <c r="B1813" s="4" t="str">
        <f>"REVIVAL"</f>
        <v>REVIVAL</v>
      </c>
      <c r="C1813" s="4">
        <v>616620092</v>
      </c>
      <c r="D1813" s="3" t="s">
        <v>0</v>
      </c>
      <c r="E1813" s="2" t="str">
        <f>"PR5000046D"</f>
        <v>PR5000046D</v>
      </c>
      <c r="F1813" s="5">
        <v>44894</v>
      </c>
      <c r="G1813" s="5">
        <v>54789</v>
      </c>
      <c r="H1813" s="4" t="str">
        <f>""</f>
        <v/>
      </c>
      <c r="I1813" s="4" t="str">
        <f>""</f>
        <v/>
      </c>
    </row>
    <row r="1814" spans="1:9" x14ac:dyDescent="0.3">
      <c r="A1814" s="1" t="str">
        <f>"50"</f>
        <v>50</v>
      </c>
      <c r="B1814" s="4" t="str">
        <f>"REVIVAL"</f>
        <v>REVIVAL</v>
      </c>
      <c r="C1814" s="4">
        <v>616620092</v>
      </c>
      <c r="D1814" s="3" t="s">
        <v>0</v>
      </c>
      <c r="E1814" s="2" t="str">
        <f>"PR5000045D"</f>
        <v>PR5000045D</v>
      </c>
      <c r="F1814" s="5">
        <v>44894</v>
      </c>
      <c r="G1814" s="5">
        <v>54789</v>
      </c>
      <c r="H1814" s="4" t="str">
        <f>""</f>
        <v/>
      </c>
      <c r="I1814" s="4" t="str">
        <f>""</f>
        <v/>
      </c>
    </row>
    <row r="1815" spans="1:9" x14ac:dyDescent="0.3">
      <c r="A1815" s="1" t="str">
        <f>"50"</f>
        <v>50</v>
      </c>
      <c r="B1815" s="4" t="str">
        <f>"REVIVAL"</f>
        <v>REVIVAL</v>
      </c>
      <c r="C1815" s="4">
        <v>616620092</v>
      </c>
      <c r="D1815" s="3" t="s">
        <v>0</v>
      </c>
      <c r="E1815" s="2" t="str">
        <f>"0005306606"</f>
        <v>0005306606</v>
      </c>
      <c r="F1815" s="5">
        <v>44894</v>
      </c>
      <c r="G1815" s="5">
        <v>54789</v>
      </c>
      <c r="H1815" s="4" t="str">
        <f>""</f>
        <v/>
      </c>
      <c r="I1815" s="4" t="str">
        <f>""</f>
        <v/>
      </c>
    </row>
    <row r="1816" spans="1:9" x14ac:dyDescent="0.3">
      <c r="A1816" s="1" t="str">
        <f>"50"</f>
        <v>50</v>
      </c>
      <c r="B1816" s="4" t="str">
        <f>"REVIVAL"</f>
        <v>REVIVAL</v>
      </c>
      <c r="C1816" s="4">
        <v>616620092</v>
      </c>
      <c r="D1816" s="3" t="s">
        <v>0</v>
      </c>
      <c r="E1816" s="2" t="str">
        <f>"0003901731"</f>
        <v>0003901731</v>
      </c>
      <c r="F1816" s="5">
        <v>44894</v>
      </c>
      <c r="G1816" s="5">
        <v>54789</v>
      </c>
      <c r="H1816" s="4" t="str">
        <f>""</f>
        <v/>
      </c>
      <c r="I1816" s="4" t="str">
        <f>""</f>
        <v/>
      </c>
    </row>
    <row r="1817" spans="1:9" x14ac:dyDescent="0.3">
      <c r="A1817" s="1" t="str">
        <f>"50"</f>
        <v>50</v>
      </c>
      <c r="B1817" s="4" t="str">
        <f>"REVIVAL"</f>
        <v>REVIVAL</v>
      </c>
      <c r="C1817" s="4">
        <v>616620092</v>
      </c>
      <c r="D1817" s="3" t="s">
        <v>0</v>
      </c>
      <c r="E1817" s="2" t="str">
        <f>"PR5000044D"</f>
        <v>PR5000044D</v>
      </c>
      <c r="F1817" s="5">
        <v>44894</v>
      </c>
      <c r="G1817" s="5">
        <v>54789</v>
      </c>
      <c r="H1817" s="4" t="str">
        <f>""</f>
        <v/>
      </c>
      <c r="I1817" s="4" t="str">
        <f>""</f>
        <v/>
      </c>
    </row>
    <row r="1818" spans="1:9" x14ac:dyDescent="0.3">
      <c r="A1818" s="1" t="str">
        <f>"50"</f>
        <v>50</v>
      </c>
      <c r="B1818" s="4" t="str">
        <f>"GUY DAUPHIN ENVIRONNEMENT"</f>
        <v>GUY DAUPHIN ENVIRONNEMENT</v>
      </c>
      <c r="C1818" s="4">
        <v>653820530</v>
      </c>
      <c r="D1818" s="3" t="s">
        <v>0</v>
      </c>
      <c r="E1818" s="2" t="str">
        <f>"0005302028"</f>
        <v>0005302028</v>
      </c>
      <c r="F1818" s="5">
        <v>41095</v>
      </c>
      <c r="G1818" s="5">
        <v>54789</v>
      </c>
      <c r="H1818" s="4" t="str">
        <f>""</f>
        <v/>
      </c>
      <c r="I1818" s="4" t="str">
        <f>""</f>
        <v/>
      </c>
    </row>
    <row r="1819" spans="1:9" x14ac:dyDescent="0.3">
      <c r="A1819" s="1" t="str">
        <f>"50"</f>
        <v>50</v>
      </c>
      <c r="B1819" s="4" t="str">
        <f>"GUY DAUPHIN ENVIRONNEMENT"</f>
        <v>GUY DAUPHIN ENVIRONNEMENT</v>
      </c>
      <c r="C1819" s="4">
        <v>653820530</v>
      </c>
      <c r="D1819" s="3" t="s">
        <v>0</v>
      </c>
      <c r="E1819" s="2" t="str">
        <f>"PR5000011D"</f>
        <v>PR5000011D</v>
      </c>
      <c r="F1819" s="5">
        <v>41095</v>
      </c>
      <c r="G1819" s="5">
        <v>54789</v>
      </c>
      <c r="H1819" s="4" t="str">
        <f>""</f>
        <v/>
      </c>
      <c r="I1819" s="4" t="str">
        <f>""</f>
        <v/>
      </c>
    </row>
    <row r="1820" spans="1:9" x14ac:dyDescent="0.3">
      <c r="A1820" s="1" t="str">
        <f>"50"</f>
        <v>50</v>
      </c>
      <c r="B1820" s="4" t="str">
        <f>"GUY DAUPHIN ENVIRONNEMENT"</f>
        <v>GUY DAUPHIN ENVIRONNEMENT</v>
      </c>
      <c r="C1820" s="4">
        <v>653820530</v>
      </c>
      <c r="D1820" s="3" t="s">
        <v>0</v>
      </c>
      <c r="E1820" s="2" t="str">
        <f>"PR5000012D"</f>
        <v>PR5000012D</v>
      </c>
      <c r="F1820" s="5">
        <v>38890</v>
      </c>
      <c r="G1820" s="5">
        <v>54789</v>
      </c>
      <c r="H1820" s="4" t="str">
        <f>""</f>
        <v/>
      </c>
      <c r="I1820" s="4" t="str">
        <f>""</f>
        <v/>
      </c>
    </row>
    <row r="1821" spans="1:9" x14ac:dyDescent="0.3">
      <c r="A1821" s="1" t="str">
        <f>"50"</f>
        <v>50</v>
      </c>
      <c r="B1821" s="4" t="str">
        <f>"GUY DAUPHIN ENVIRONNEMENT"</f>
        <v>GUY DAUPHIN ENVIRONNEMENT</v>
      </c>
      <c r="C1821" s="4">
        <v>653820530</v>
      </c>
      <c r="D1821" s="3" t="s">
        <v>0</v>
      </c>
      <c r="E1821" s="2" t="str">
        <f>"PR5000040D"</f>
        <v>PR5000040D</v>
      </c>
      <c r="F1821" s="5">
        <v>44365</v>
      </c>
      <c r="G1821" s="5">
        <v>54789</v>
      </c>
      <c r="H1821" s="4" t="str">
        <f>""</f>
        <v/>
      </c>
      <c r="I1821" s="4" t="str">
        <f>""</f>
        <v/>
      </c>
    </row>
    <row r="1822" spans="1:9" x14ac:dyDescent="0.3">
      <c r="A1822" s="1" t="str">
        <f>"50"</f>
        <v>50</v>
      </c>
      <c r="B1822" s="4" t="str">
        <f>"SOCIETE GUY DAUPHIN ENVIRONNEMENT"</f>
        <v>SOCIETE GUY DAUPHIN ENVIRONNEMENT</v>
      </c>
      <c r="C1822" s="4">
        <v>653820530</v>
      </c>
      <c r="D1822" s="3" t="s">
        <v>0</v>
      </c>
      <c r="E1822" s="2" t="str">
        <f>"PR5000041D"</f>
        <v>PR5000041D</v>
      </c>
      <c r="F1822" s="5">
        <v>44469</v>
      </c>
      <c r="G1822" s="5">
        <v>54789</v>
      </c>
      <c r="H1822" s="4" t="str">
        <f>""</f>
        <v/>
      </c>
      <c r="I1822" s="4" t="str">
        <f>""</f>
        <v/>
      </c>
    </row>
    <row r="1823" spans="1:9" x14ac:dyDescent="0.3">
      <c r="A1823" s="1" t="str">
        <f>"50"</f>
        <v>50</v>
      </c>
      <c r="B1823" s="4" t="str">
        <f>"SUD OUEST AUTOMOBILES"</f>
        <v>SUD OUEST AUTOMOBILES</v>
      </c>
      <c r="C1823" s="4">
        <v>720800333</v>
      </c>
      <c r="D1823" s="3" t="s">
        <v>0</v>
      </c>
      <c r="E1823" s="2" t="str">
        <f>"PR3100018D"</f>
        <v>PR3100018D</v>
      </c>
      <c r="F1823" s="5">
        <v>43818</v>
      </c>
      <c r="G1823" s="5">
        <v>54789</v>
      </c>
      <c r="H1823" s="4" t="str">
        <f>""</f>
        <v/>
      </c>
      <c r="I1823" s="4" t="str">
        <f>""</f>
        <v/>
      </c>
    </row>
    <row r="1824" spans="1:9" x14ac:dyDescent="0.3">
      <c r="A1824" s="1" t="str">
        <f>"50"</f>
        <v>50</v>
      </c>
      <c r="B1824" s="4" t="str">
        <f>"EURL BOUTHREUIL"</f>
        <v>EURL BOUTHREUIL</v>
      </c>
      <c r="C1824" s="4">
        <v>788668846</v>
      </c>
      <c r="D1824" s="3" t="s">
        <v>0</v>
      </c>
      <c r="E1824" s="2" t="str">
        <f>"0005305051"</f>
        <v>0005305051</v>
      </c>
      <c r="F1824" s="5">
        <v>41262</v>
      </c>
      <c r="G1824" s="5">
        <v>54789</v>
      </c>
      <c r="H1824" s="4" t="str">
        <f>""</f>
        <v/>
      </c>
      <c r="I1824" s="4" t="str">
        <f>""</f>
        <v/>
      </c>
    </row>
    <row r="1825" spans="1:9" x14ac:dyDescent="0.3">
      <c r="A1825" s="1" t="str">
        <f>"50"</f>
        <v>50</v>
      </c>
      <c r="B1825" s="4" t="str">
        <f>"EURL BOUTHREUIL"</f>
        <v>EURL BOUTHREUIL</v>
      </c>
      <c r="C1825" s="4">
        <v>788668846</v>
      </c>
      <c r="D1825" s="3" t="s">
        <v>0</v>
      </c>
      <c r="E1825" s="2" t="str">
        <f>"PR5000025D"</f>
        <v>PR5000025D</v>
      </c>
      <c r="F1825" s="5">
        <v>41262</v>
      </c>
      <c r="G1825" s="5">
        <v>54789</v>
      </c>
      <c r="H1825" s="4" t="str">
        <f>""</f>
        <v/>
      </c>
      <c r="I1825" s="4" t="str">
        <f>""</f>
        <v/>
      </c>
    </row>
    <row r="1826" spans="1:9" x14ac:dyDescent="0.3">
      <c r="A1826" s="1" t="str">
        <f>"50"</f>
        <v>50</v>
      </c>
      <c r="B1826" s="4" t="str">
        <f>"EURL LECHARPENTIER ARNAUD"</f>
        <v>EURL LECHARPENTIER ARNAUD</v>
      </c>
      <c r="C1826" s="4">
        <v>793030966</v>
      </c>
      <c r="D1826" s="3" t="s">
        <v>0</v>
      </c>
      <c r="E1826" s="2" t="str">
        <f>"PR5000027D"</f>
        <v>PR5000027D</v>
      </c>
      <c r="F1826" s="5">
        <v>41479</v>
      </c>
      <c r="G1826" s="5">
        <v>54789</v>
      </c>
      <c r="H1826" s="4" t="str">
        <f>""</f>
        <v/>
      </c>
      <c r="I1826" s="4" t="str">
        <f>""</f>
        <v/>
      </c>
    </row>
    <row r="1827" spans="1:9" x14ac:dyDescent="0.3">
      <c r="A1827" s="1" t="str">
        <f>"50"</f>
        <v>50</v>
      </c>
      <c r="B1827" s="4" t="str">
        <f>"EURL LECHARPENTIER ARNAUD"</f>
        <v>EURL LECHARPENTIER ARNAUD</v>
      </c>
      <c r="C1827" s="4">
        <v>793030966</v>
      </c>
      <c r="D1827" s="3" t="s">
        <v>0</v>
      </c>
      <c r="E1827" s="2" t="str">
        <f>"0005301427"</f>
        <v>0005301427</v>
      </c>
      <c r="F1827" s="5">
        <v>41479</v>
      </c>
      <c r="G1827" s="5">
        <v>54789</v>
      </c>
      <c r="H1827" s="4" t="str">
        <f>""</f>
        <v/>
      </c>
      <c r="I1827" s="4" t="str">
        <f>""</f>
        <v/>
      </c>
    </row>
    <row r="1828" spans="1:9" x14ac:dyDescent="0.3">
      <c r="A1828" s="1" t="str">
        <f>"50"</f>
        <v>50</v>
      </c>
      <c r="B1828" s="4" t="str">
        <f>"SASU ETABLISSEMENTS DUVAL"</f>
        <v>SASU ETABLISSEMENTS DUVAL</v>
      </c>
      <c r="C1828" s="4">
        <v>797384096</v>
      </c>
      <c r="D1828" s="3" t="s">
        <v>0</v>
      </c>
      <c r="E1828" s="2" t="str">
        <f>"0005301452"</f>
        <v>0005301452</v>
      </c>
      <c r="F1828" s="5">
        <v>41964</v>
      </c>
      <c r="G1828" s="5">
        <v>54789</v>
      </c>
      <c r="H1828" s="4" t="str">
        <f>""</f>
        <v/>
      </c>
      <c r="I1828" s="4" t="str">
        <f>""</f>
        <v/>
      </c>
    </row>
    <row r="1829" spans="1:9" x14ac:dyDescent="0.3">
      <c r="A1829" s="1" t="str">
        <f>"50"</f>
        <v>50</v>
      </c>
      <c r="B1829" s="4" t="str">
        <f>"SASU ETABLISSEMENTS DUVAL"</f>
        <v>SASU ETABLISSEMENTS DUVAL</v>
      </c>
      <c r="C1829" s="4">
        <v>797384096</v>
      </c>
      <c r="D1829" s="3" t="s">
        <v>0</v>
      </c>
      <c r="E1829" s="2" t="str">
        <f>"PR5000028D"</f>
        <v>PR5000028D</v>
      </c>
      <c r="F1829" s="5">
        <v>41964</v>
      </c>
      <c r="G1829" s="5">
        <v>54789</v>
      </c>
      <c r="H1829" s="4" t="str">
        <f>""</f>
        <v/>
      </c>
      <c r="I1829" s="4" t="str">
        <f>""</f>
        <v/>
      </c>
    </row>
    <row r="1830" spans="1:9" x14ac:dyDescent="0.3">
      <c r="A1830" s="1" t="str">
        <f>"50"</f>
        <v>50</v>
      </c>
      <c r="B1830" s="4" t="str">
        <f>"SAS GARAGE GROGNET"</f>
        <v>SAS GARAGE GROGNET</v>
      </c>
      <c r="C1830" s="4">
        <v>819619123</v>
      </c>
      <c r="D1830" s="3" t="s">
        <v>0</v>
      </c>
      <c r="E1830" s="2" t="str">
        <f>"0005303447"</f>
        <v>0005303447</v>
      </c>
      <c r="F1830" s="5">
        <v>42899</v>
      </c>
      <c r="G1830" s="5">
        <v>54789</v>
      </c>
      <c r="H1830" s="4" t="str">
        <f>""</f>
        <v/>
      </c>
      <c r="I1830" s="4" t="str">
        <f>""</f>
        <v/>
      </c>
    </row>
    <row r="1831" spans="1:9" x14ac:dyDescent="0.3">
      <c r="A1831" s="1" t="str">
        <f>"50"</f>
        <v>50</v>
      </c>
      <c r="B1831" s="4" t="str">
        <f>"SAS GARAGE GROGNET"</f>
        <v>SAS GARAGE GROGNET</v>
      </c>
      <c r="C1831" s="4">
        <v>819619123</v>
      </c>
      <c r="D1831" s="3" t="s">
        <v>0</v>
      </c>
      <c r="E1831" s="2" t="str">
        <f>"PR5000033D"</f>
        <v>PR5000033D</v>
      </c>
      <c r="F1831" s="5">
        <v>42899</v>
      </c>
      <c r="G1831" s="5">
        <v>54789</v>
      </c>
      <c r="H1831" s="4" t="str">
        <f>""</f>
        <v/>
      </c>
      <c r="I1831" s="4" t="str">
        <f>""</f>
        <v/>
      </c>
    </row>
    <row r="1832" spans="1:9" x14ac:dyDescent="0.3">
      <c r="A1832" s="1" t="str">
        <f>"50"</f>
        <v>50</v>
      </c>
      <c r="B1832" s="4" t="str">
        <f>"SAS GARAGE PREZOT"</f>
        <v>SAS GARAGE PREZOT</v>
      </c>
      <c r="C1832" s="4">
        <v>819619123</v>
      </c>
      <c r="D1832" s="3" t="s">
        <v>0</v>
      </c>
      <c r="E1832" s="2" t="str">
        <f>"PR5000039D"</f>
        <v>PR5000039D</v>
      </c>
      <c r="F1832" s="5">
        <v>44160</v>
      </c>
      <c r="G1832" s="5">
        <v>54789</v>
      </c>
      <c r="H1832" s="4" t="str">
        <f>""</f>
        <v/>
      </c>
      <c r="I1832" s="4" t="str">
        <f>""</f>
        <v/>
      </c>
    </row>
    <row r="1833" spans="1:9" x14ac:dyDescent="0.3">
      <c r="A1833" s="1" t="str">
        <f>"50"</f>
        <v>50</v>
      </c>
      <c r="B1833" s="4" t="str">
        <f>"SARL CASSE AUTO LUDOS"</f>
        <v>SARL CASSE AUTO LUDOS</v>
      </c>
      <c r="C1833" s="4">
        <v>820776763</v>
      </c>
      <c r="D1833" s="3" t="s">
        <v>0</v>
      </c>
      <c r="E1833" s="2" t="str">
        <f>"PR5000031D"</f>
        <v>PR5000031D</v>
      </c>
      <c r="F1833" s="5">
        <v>42860</v>
      </c>
      <c r="G1833" s="5">
        <v>54789</v>
      </c>
      <c r="H1833" s="4" t="str">
        <f>""</f>
        <v/>
      </c>
      <c r="I1833" s="4" t="str">
        <f>""</f>
        <v/>
      </c>
    </row>
    <row r="1834" spans="1:9" x14ac:dyDescent="0.3">
      <c r="A1834" s="1" t="str">
        <f>"50"</f>
        <v>50</v>
      </c>
      <c r="B1834" s="4" t="str">
        <f>"SARL CASSE AUTO LUDOS"</f>
        <v>SARL CASSE AUTO LUDOS</v>
      </c>
      <c r="C1834" s="4">
        <v>820776763</v>
      </c>
      <c r="D1834" s="3" t="s">
        <v>0</v>
      </c>
      <c r="E1834" s="2" t="str">
        <f>"0005307323"</f>
        <v>0005307323</v>
      </c>
      <c r="F1834" s="5">
        <v>42860</v>
      </c>
      <c r="G1834" s="5">
        <v>54789</v>
      </c>
      <c r="H1834" s="4" t="str">
        <f>""</f>
        <v/>
      </c>
      <c r="I1834" s="4" t="str">
        <f>""</f>
        <v/>
      </c>
    </row>
    <row r="1835" spans="1:9" x14ac:dyDescent="0.3">
      <c r="A1835" s="1" t="str">
        <f>"50"</f>
        <v>50</v>
      </c>
      <c r="B1835" s="4" t="str">
        <f>"LETOURNEUR MICHEL"</f>
        <v>LETOURNEUR MICHEL</v>
      </c>
      <c r="C1835" s="4">
        <v>906971429</v>
      </c>
      <c r="D1835" s="3" t="s">
        <v>0</v>
      </c>
      <c r="E1835" s="2" t="str">
        <f>"PR5000003D"</f>
        <v>PR5000003D</v>
      </c>
      <c r="F1835" s="5">
        <v>43299</v>
      </c>
      <c r="G1835" s="5">
        <v>54789</v>
      </c>
      <c r="H1835" s="4" t="str">
        <f>""</f>
        <v/>
      </c>
      <c r="I1835" s="4" t="str">
        <f>""</f>
        <v/>
      </c>
    </row>
    <row r="1836" spans="1:9" x14ac:dyDescent="0.3">
      <c r="A1836" s="1" t="str">
        <f>"50"</f>
        <v>50</v>
      </c>
      <c r="B1836" s="4" t="str">
        <f>"LETOURNEUR MICHEL"</f>
        <v>LETOURNEUR MICHEL</v>
      </c>
      <c r="C1836" s="4">
        <v>906971429</v>
      </c>
      <c r="D1836" s="3" t="s">
        <v>0</v>
      </c>
      <c r="E1836" s="2" t="str">
        <f>"0005301540"</f>
        <v>0005301540</v>
      </c>
      <c r="F1836" s="5">
        <v>43299</v>
      </c>
      <c r="G1836" s="5">
        <v>54789</v>
      </c>
      <c r="H1836" s="4" t="str">
        <f>""</f>
        <v/>
      </c>
      <c r="I1836" s="4" t="str">
        <f>""</f>
        <v/>
      </c>
    </row>
    <row r="1837" spans="1:9" x14ac:dyDescent="0.3">
      <c r="A1837" s="1" t="str">
        <f>"50"</f>
        <v>50</v>
      </c>
      <c r="B1837" s="4" t="str">
        <f>"BAZIN RECYCLAGE SAS"</f>
        <v>BAZIN RECYCLAGE SAS</v>
      </c>
      <c r="C1837" s="4">
        <v>948448097</v>
      </c>
      <c r="D1837" s="3" t="s">
        <v>0</v>
      </c>
      <c r="E1837" s="2" t="str">
        <f>"PR5000047D"</f>
        <v>PR5000047D</v>
      </c>
      <c r="F1837" s="5">
        <v>45391</v>
      </c>
      <c r="G1837" s="5">
        <v>54789</v>
      </c>
      <c r="H1837" s="4" t="str">
        <f>""</f>
        <v/>
      </c>
      <c r="I1837" s="4" t="str">
        <f>""</f>
        <v/>
      </c>
    </row>
    <row r="1838" spans="1:9" x14ac:dyDescent="0.3">
      <c r="A1838" s="1" t="str">
        <f>"51"</f>
        <v>51</v>
      </c>
      <c r="B1838" s="4" t="str">
        <f>"AUTO CASSE PETIT"</f>
        <v>AUTO CASSE PETIT</v>
      </c>
      <c r="C1838" s="4">
        <v>97140685</v>
      </c>
      <c r="D1838" s="3" t="s">
        <v>0</v>
      </c>
      <c r="E1838" s="2" t="str">
        <f>"PR5100005D"</f>
        <v>PR5100005D</v>
      </c>
      <c r="F1838" s="5">
        <v>38860</v>
      </c>
      <c r="G1838" s="5">
        <v>54789</v>
      </c>
      <c r="H1838" s="4" t="str">
        <f>""</f>
        <v/>
      </c>
      <c r="I1838" s="4" t="str">
        <f>""</f>
        <v/>
      </c>
    </row>
    <row r="1839" spans="1:9" x14ac:dyDescent="0.3">
      <c r="A1839" s="1" t="str">
        <f>"51"</f>
        <v>51</v>
      </c>
      <c r="B1839" s="4" t="str">
        <f>"GARAGE LECUYER"</f>
        <v>GARAGE LECUYER</v>
      </c>
      <c r="C1839" s="4">
        <v>304572639</v>
      </c>
      <c r="D1839" s="3" t="s">
        <v>0</v>
      </c>
      <c r="E1839" s="2" t="str">
        <f>"0005702232"</f>
        <v>0005702232</v>
      </c>
      <c r="F1839" s="5">
        <v>40207</v>
      </c>
      <c r="G1839" s="5">
        <v>54789</v>
      </c>
      <c r="H1839" s="4" t="str">
        <f>""</f>
        <v/>
      </c>
      <c r="I1839" s="4" t="str">
        <f>""</f>
        <v/>
      </c>
    </row>
    <row r="1840" spans="1:9" x14ac:dyDescent="0.3">
      <c r="A1840" s="1" t="str">
        <f>"51"</f>
        <v>51</v>
      </c>
      <c r="B1840" s="4" t="str">
        <f>"GARAGE LECUYER"</f>
        <v>GARAGE LECUYER</v>
      </c>
      <c r="C1840" s="4">
        <v>304572639</v>
      </c>
      <c r="D1840" s="3" t="s">
        <v>0</v>
      </c>
      <c r="E1840" s="2" t="str">
        <f>"PR5100016D"</f>
        <v>PR5100016D</v>
      </c>
      <c r="F1840" s="5">
        <v>40207</v>
      </c>
      <c r="G1840" s="5">
        <v>54789</v>
      </c>
      <c r="H1840" s="4" t="str">
        <f>""</f>
        <v/>
      </c>
      <c r="I1840" s="4" t="str">
        <f>""</f>
        <v/>
      </c>
    </row>
    <row r="1841" spans="1:9" x14ac:dyDescent="0.3">
      <c r="A1841" s="1" t="str">
        <f>"51"</f>
        <v>51</v>
      </c>
      <c r="B1841" s="4" t="str">
        <f>"SAS AUTO-PIECES"</f>
        <v>SAS AUTO-PIECES</v>
      </c>
      <c r="C1841" s="4">
        <v>315280156</v>
      </c>
      <c r="D1841" s="3" t="s">
        <v>0</v>
      </c>
      <c r="E1841" s="2" t="str">
        <f>"0005701564"</f>
        <v>0005701564</v>
      </c>
      <c r="F1841" s="5">
        <v>38825</v>
      </c>
      <c r="G1841" s="5">
        <v>54789</v>
      </c>
      <c r="H1841" s="4" t="str">
        <f>""</f>
        <v/>
      </c>
      <c r="I1841" s="4" t="str">
        <f>""</f>
        <v/>
      </c>
    </row>
    <row r="1842" spans="1:9" x14ac:dyDescent="0.3">
      <c r="A1842" s="1" t="str">
        <f>"51"</f>
        <v>51</v>
      </c>
      <c r="B1842" s="4" t="str">
        <f>"SAS AUTO-PIECES"</f>
        <v>SAS AUTO-PIECES</v>
      </c>
      <c r="C1842" s="4">
        <v>315280156</v>
      </c>
      <c r="D1842" s="3" t="s">
        <v>0</v>
      </c>
      <c r="E1842" s="2" t="str">
        <f>"PR5100001D"</f>
        <v>PR5100001D</v>
      </c>
      <c r="F1842" s="5">
        <v>38825</v>
      </c>
      <c r="G1842" s="5">
        <v>54789</v>
      </c>
      <c r="H1842" s="4" t="str">
        <f>""</f>
        <v/>
      </c>
      <c r="I1842" s="4" t="str">
        <f>""</f>
        <v/>
      </c>
    </row>
    <row r="1843" spans="1:9" x14ac:dyDescent="0.3">
      <c r="A1843" s="1" t="str">
        <f>"51"</f>
        <v>51</v>
      </c>
      <c r="B1843" s="4" t="str">
        <f>"SARL FL AUTO"</f>
        <v>SARL FL AUTO</v>
      </c>
      <c r="C1843" s="4">
        <v>320441124</v>
      </c>
      <c r="D1843" s="3" t="s">
        <v>0</v>
      </c>
      <c r="E1843" s="2" t="str">
        <f>"0005701619"</f>
        <v>0005701619</v>
      </c>
      <c r="F1843" s="5">
        <v>38860</v>
      </c>
      <c r="G1843" s="5">
        <v>54789</v>
      </c>
      <c r="H1843" s="4" t="str">
        <f>""</f>
        <v/>
      </c>
      <c r="I1843" s="4" t="str">
        <f>""</f>
        <v/>
      </c>
    </row>
    <row r="1844" spans="1:9" x14ac:dyDescent="0.3">
      <c r="A1844" s="1" t="str">
        <f>"51"</f>
        <v>51</v>
      </c>
      <c r="B1844" s="4" t="str">
        <f>"SARL FL AUTO"</f>
        <v>SARL FL AUTO</v>
      </c>
      <c r="C1844" s="4">
        <v>320441124</v>
      </c>
      <c r="D1844" s="3" t="s">
        <v>0</v>
      </c>
      <c r="E1844" s="2" t="str">
        <f>"PR5100006D"</f>
        <v>PR5100006D</v>
      </c>
      <c r="F1844" s="5">
        <v>38860</v>
      </c>
      <c r="G1844" s="5">
        <v>54789</v>
      </c>
      <c r="H1844" s="4" t="str">
        <f>""</f>
        <v/>
      </c>
      <c r="I1844" s="4" t="str">
        <f>""</f>
        <v/>
      </c>
    </row>
    <row r="1845" spans="1:9" x14ac:dyDescent="0.3">
      <c r="A1845" s="1" t="str">
        <f>"51"</f>
        <v>51</v>
      </c>
      <c r="B1845" s="4" t="str">
        <f>"SAS CARROSSERIE DE CHAMPAGNE"</f>
        <v>SAS CARROSSERIE DE CHAMPAGNE</v>
      </c>
      <c r="C1845" s="4">
        <v>328631437</v>
      </c>
      <c r="D1845" s="3" t="s">
        <v>0</v>
      </c>
      <c r="E1845" s="2" t="str">
        <f>"PR5100018D"</f>
        <v>PR5100018D</v>
      </c>
      <c r="F1845" s="5">
        <v>42727</v>
      </c>
      <c r="G1845" s="5">
        <v>54789</v>
      </c>
      <c r="H1845" s="4" t="str">
        <f>""</f>
        <v/>
      </c>
      <c r="I1845" s="4" t="str">
        <f>""</f>
        <v/>
      </c>
    </row>
    <row r="1846" spans="1:9" x14ac:dyDescent="0.3">
      <c r="A1846" s="1" t="str">
        <f>"51"</f>
        <v>51</v>
      </c>
      <c r="B1846" s="4" t="str">
        <f>"CASSE INDUSTRIELLE DE L'AUTOMOBILE"</f>
        <v>CASSE INDUSTRIELLE DE L'AUTOMOBILE</v>
      </c>
      <c r="C1846" s="4">
        <v>379506264</v>
      </c>
      <c r="D1846" s="3" t="s">
        <v>0</v>
      </c>
      <c r="E1846" s="2" t="str">
        <f>"PR5100008D"</f>
        <v>PR5100008D</v>
      </c>
      <c r="F1846" s="5">
        <v>38986</v>
      </c>
      <c r="G1846" s="5">
        <v>54789</v>
      </c>
      <c r="H1846" s="4" t="str">
        <f>""</f>
        <v/>
      </c>
      <c r="I1846" s="4" t="str">
        <f>""</f>
        <v/>
      </c>
    </row>
    <row r="1847" spans="1:9" x14ac:dyDescent="0.3">
      <c r="A1847" s="1" t="str">
        <f>"51"</f>
        <v>51</v>
      </c>
      <c r="B1847" s="4" t="str">
        <f>"CASSE INDUSTRIELLE DE L'AUTOMOBILE"</f>
        <v>CASSE INDUSTRIELLE DE L'AUTOMOBILE</v>
      </c>
      <c r="C1847" s="4">
        <v>379506264</v>
      </c>
      <c r="D1847" s="3" t="s">
        <v>0</v>
      </c>
      <c r="E1847" s="2" t="str">
        <f>"0005701461"</f>
        <v>0005701461</v>
      </c>
      <c r="F1847" s="5">
        <v>38986</v>
      </c>
      <c r="G1847" s="5">
        <v>54789</v>
      </c>
      <c r="H1847" s="4" t="str">
        <f>""</f>
        <v/>
      </c>
      <c r="I1847" s="4" t="str">
        <f>""</f>
        <v/>
      </c>
    </row>
    <row r="1848" spans="1:9" x14ac:dyDescent="0.3">
      <c r="A1848" s="1" t="str">
        <f>"51"</f>
        <v>51</v>
      </c>
      <c r="B1848" s="4" t="str">
        <f>"SARL PIECES AUTO 2001"</f>
        <v>SARL PIECES AUTO 2001</v>
      </c>
      <c r="C1848" s="4">
        <v>410504716</v>
      </c>
      <c r="D1848" s="3" t="s">
        <v>0</v>
      </c>
      <c r="E1848" s="2" t="str">
        <f>"PR5100010D"</f>
        <v>PR5100010D</v>
      </c>
      <c r="F1848" s="5">
        <v>38994</v>
      </c>
      <c r="G1848" s="5">
        <v>54789</v>
      </c>
      <c r="H1848" s="4" t="str">
        <f>""</f>
        <v/>
      </c>
      <c r="I1848" s="4" t="str">
        <f>""</f>
        <v/>
      </c>
    </row>
    <row r="1849" spans="1:9" x14ac:dyDescent="0.3">
      <c r="A1849" s="1" t="str">
        <f>"51"</f>
        <v>51</v>
      </c>
      <c r="B1849" s="4" t="str">
        <f>"SARL PIECES AUTO 2001"</f>
        <v>SARL PIECES AUTO 2001</v>
      </c>
      <c r="C1849" s="4">
        <v>410504716</v>
      </c>
      <c r="D1849" s="3" t="s">
        <v>0</v>
      </c>
      <c r="E1849" s="2" t="str">
        <f>"0005701837"</f>
        <v>0005701837</v>
      </c>
      <c r="F1849" s="5">
        <v>38994</v>
      </c>
      <c r="G1849" s="5">
        <v>54789</v>
      </c>
      <c r="H1849" s="4" t="str">
        <f>""</f>
        <v/>
      </c>
      <c r="I1849" s="4" t="str">
        <f>""</f>
        <v/>
      </c>
    </row>
    <row r="1850" spans="1:9" x14ac:dyDescent="0.3">
      <c r="A1850" s="1" t="str">
        <f>"51"</f>
        <v>51</v>
      </c>
      <c r="B1850" s="4" t="str">
        <f>"MYTNIK JOSETTE JEANNE"</f>
        <v>MYTNIK JOSETTE JEANNE</v>
      </c>
      <c r="C1850" s="4">
        <v>487774069</v>
      </c>
      <c r="D1850" s="3" t="s">
        <v>0</v>
      </c>
      <c r="E1850" s="2" t="str">
        <f>"PR5100004D"</f>
        <v>PR5100004D</v>
      </c>
      <c r="F1850" s="5">
        <v>38860</v>
      </c>
      <c r="G1850" s="5">
        <v>54789</v>
      </c>
      <c r="H1850" s="4" t="str">
        <f>""</f>
        <v/>
      </c>
      <c r="I1850" s="4" t="str">
        <f>""</f>
        <v/>
      </c>
    </row>
    <row r="1851" spans="1:9" x14ac:dyDescent="0.3">
      <c r="A1851" s="1" t="str">
        <f>"51"</f>
        <v>51</v>
      </c>
      <c r="B1851" s="4" t="str">
        <f>"SOCIETE RECUPERATION MYTNIK"</f>
        <v>SOCIETE RECUPERATION MYTNIK</v>
      </c>
      <c r="C1851" s="4">
        <v>487774069</v>
      </c>
      <c r="D1851" s="3" t="s">
        <v>0</v>
      </c>
      <c r="E1851" s="2" t="str">
        <f>"PR5100020D"</f>
        <v>PR5100020D</v>
      </c>
      <c r="F1851" s="5">
        <v>43644</v>
      </c>
      <c r="G1851" s="5">
        <v>54789</v>
      </c>
      <c r="H1851" s="4" t="str">
        <f>""</f>
        <v/>
      </c>
      <c r="I1851" s="4" t="str">
        <f>""</f>
        <v/>
      </c>
    </row>
    <row r="1852" spans="1:9" x14ac:dyDescent="0.3">
      <c r="A1852" s="1" t="str">
        <f>"51"</f>
        <v>51</v>
      </c>
      <c r="B1852" s="4" t="str">
        <f>"SOCIETE RECUPERATION MYTNIK"</f>
        <v>SOCIETE RECUPERATION MYTNIK</v>
      </c>
      <c r="C1852" s="4">
        <v>487774069</v>
      </c>
      <c r="D1852" s="3" t="s">
        <v>0</v>
      </c>
      <c r="E1852" s="2" t="str">
        <f>"0005701882"</f>
        <v>0005701882</v>
      </c>
      <c r="F1852" s="5">
        <v>43644</v>
      </c>
      <c r="G1852" s="5">
        <v>54789</v>
      </c>
      <c r="H1852" s="4" t="str">
        <f>""</f>
        <v/>
      </c>
      <c r="I1852" s="4" t="str">
        <f>""</f>
        <v/>
      </c>
    </row>
    <row r="1853" spans="1:9" x14ac:dyDescent="0.3">
      <c r="A1853" s="1" t="str">
        <f>"51"</f>
        <v>51</v>
      </c>
      <c r="B1853" s="4" t="str">
        <f>"SOCIETE AUTO DEPOLLUTION ORDAN PIECES D OCCASION"</f>
        <v>SOCIETE AUTO DEPOLLUTION ORDAN PIECES D OCCASION</v>
      </c>
      <c r="C1853" s="4">
        <v>497986810</v>
      </c>
      <c r="D1853" s="3" t="s">
        <v>0</v>
      </c>
      <c r="E1853" s="2" t="str">
        <f>"0005702840"</f>
        <v>0005702840</v>
      </c>
      <c r="F1853" s="5">
        <v>42013</v>
      </c>
      <c r="G1853" s="5">
        <v>54789</v>
      </c>
      <c r="H1853" s="4" t="str">
        <f>""</f>
        <v/>
      </c>
      <c r="I1853" s="4" t="str">
        <f>""</f>
        <v/>
      </c>
    </row>
    <row r="1854" spans="1:9" x14ac:dyDescent="0.3">
      <c r="A1854" s="1" t="str">
        <f>"51"</f>
        <v>51</v>
      </c>
      <c r="B1854" s="4" t="str">
        <f>"SOCIETE AUTO DEPOLLUTION ORDAN PIECES D OCCASION"</f>
        <v>SOCIETE AUTO DEPOLLUTION ORDAN PIECES D OCCASION</v>
      </c>
      <c r="C1854" s="4">
        <v>497986810</v>
      </c>
      <c r="D1854" s="3" t="s">
        <v>0</v>
      </c>
      <c r="E1854" s="2" t="str">
        <f>"PR5100003D"</f>
        <v>PR5100003D</v>
      </c>
      <c r="F1854" s="5">
        <v>42013</v>
      </c>
      <c r="G1854" s="5">
        <v>54789</v>
      </c>
      <c r="H1854" s="4" t="str">
        <f>""</f>
        <v/>
      </c>
      <c r="I1854" s="4" t="str">
        <f>""</f>
        <v/>
      </c>
    </row>
    <row r="1855" spans="1:9" x14ac:dyDescent="0.3">
      <c r="A1855" s="1" t="str">
        <f>"51"</f>
        <v>51</v>
      </c>
      <c r="B1855" s="4" t="str">
        <f>"SOCIETE AUTO DEPOLLUTION ORDAN"</f>
        <v>SOCIETE AUTO DEPOLLUTION ORDAN</v>
      </c>
      <c r="C1855" s="4">
        <v>497986810</v>
      </c>
      <c r="D1855" s="3" t="s">
        <v>0</v>
      </c>
      <c r="E1855" s="2" t="str">
        <f>"PR5100021D"</f>
        <v>PR5100021D</v>
      </c>
      <c r="F1855" s="5">
        <v>43902</v>
      </c>
      <c r="G1855" s="5">
        <v>54789</v>
      </c>
      <c r="H1855" s="4" t="str">
        <f>""</f>
        <v/>
      </c>
      <c r="I1855" s="4" t="str">
        <f>""</f>
        <v/>
      </c>
    </row>
    <row r="1856" spans="1:9" x14ac:dyDescent="0.3">
      <c r="A1856" s="1" t="str">
        <f>"51"</f>
        <v>51</v>
      </c>
      <c r="B1856" s="4" t="str">
        <f>"SOCIETE AUTO DEPOLLUTION ORDAN"</f>
        <v>SOCIETE AUTO DEPOLLUTION ORDAN</v>
      </c>
      <c r="C1856" s="4">
        <v>497986810</v>
      </c>
      <c r="D1856" s="3" t="s">
        <v>0</v>
      </c>
      <c r="E1856" s="2" t="str">
        <f>"0003013989"</f>
        <v>0003013989</v>
      </c>
      <c r="F1856" s="5">
        <v>43902</v>
      </c>
      <c r="G1856" s="5">
        <v>54789</v>
      </c>
      <c r="H1856" s="4" t="str">
        <f>""</f>
        <v/>
      </c>
      <c r="I1856" s="4" t="str">
        <f>""</f>
        <v/>
      </c>
    </row>
    <row r="1857" spans="1:9" x14ac:dyDescent="0.3">
      <c r="A1857" s="1" t="str">
        <f>"51"</f>
        <v>51</v>
      </c>
      <c r="B1857" s="4" t="str">
        <f>"AUTO CASSE CHICHEY"</f>
        <v>AUTO CASSE CHICHEY</v>
      </c>
      <c r="C1857" s="4">
        <v>501690325</v>
      </c>
      <c r="D1857" s="3" t="s">
        <v>0</v>
      </c>
      <c r="E1857" s="2" t="str">
        <f>"PR5100005D"</f>
        <v>PR5100005D</v>
      </c>
      <c r="F1857" s="5">
        <v>41052</v>
      </c>
      <c r="G1857" s="5">
        <v>54789</v>
      </c>
      <c r="H1857" s="4" t="str">
        <f>""</f>
        <v/>
      </c>
      <c r="I1857" s="4" t="str">
        <f>""</f>
        <v/>
      </c>
    </row>
    <row r="1858" spans="1:9" x14ac:dyDescent="0.3">
      <c r="A1858" s="1" t="str">
        <f>"51"</f>
        <v>51</v>
      </c>
      <c r="B1858" s="4" t="str">
        <f>"AUTO CASSE CHICHEY"</f>
        <v>AUTO CASSE CHICHEY</v>
      </c>
      <c r="C1858" s="4">
        <v>501690325</v>
      </c>
      <c r="D1858" s="3" t="s">
        <v>0</v>
      </c>
      <c r="E1858" s="2" t="str">
        <f>"0005701595"</f>
        <v>0005701595</v>
      </c>
      <c r="F1858" s="5">
        <v>41052</v>
      </c>
      <c r="G1858" s="5">
        <v>54789</v>
      </c>
      <c r="H1858" s="4" t="str">
        <f>""</f>
        <v/>
      </c>
      <c r="I1858" s="4" t="str">
        <f>""</f>
        <v/>
      </c>
    </row>
    <row r="1859" spans="1:9" x14ac:dyDescent="0.3">
      <c r="A1859" s="1" t="str">
        <f>"51"</f>
        <v>51</v>
      </c>
      <c r="B1859" s="4" t="str">
        <f>"LEPINAY EURL (ex ORDI)"</f>
        <v>LEPINAY EURL (ex ORDI)</v>
      </c>
      <c r="C1859" s="4">
        <v>511344681</v>
      </c>
      <c r="D1859" s="3" t="s">
        <v>0</v>
      </c>
      <c r="E1859" s="2" t="str">
        <f>"PR3100026D"</f>
        <v>PR3100026D</v>
      </c>
      <c r="F1859" s="5">
        <v>42305</v>
      </c>
      <c r="G1859" s="5">
        <v>54789</v>
      </c>
      <c r="H1859" s="4" t="str">
        <f>""</f>
        <v/>
      </c>
      <c r="I1859" s="4" t="str">
        <f>""</f>
        <v/>
      </c>
    </row>
    <row r="1860" spans="1:9" x14ac:dyDescent="0.3">
      <c r="A1860" s="1" t="str">
        <f>"51"</f>
        <v>51</v>
      </c>
      <c r="B1860" s="4" t="str">
        <f>"SOCIETE DEBARRAS AUTO"</f>
        <v>SOCIETE DEBARRAS AUTO</v>
      </c>
      <c r="C1860" s="4">
        <v>523137685</v>
      </c>
      <c r="D1860" s="3" t="s">
        <v>0</v>
      </c>
      <c r="E1860" s="2" t="str">
        <f>"PR5100022D"</f>
        <v>PR5100022D</v>
      </c>
      <c r="F1860" s="5">
        <v>44586</v>
      </c>
      <c r="G1860" s="5">
        <v>54789</v>
      </c>
      <c r="H1860" s="4" t="str">
        <f>""</f>
        <v/>
      </c>
      <c r="I1860" s="4" t="str">
        <f>""</f>
        <v/>
      </c>
    </row>
    <row r="1861" spans="1:9" x14ac:dyDescent="0.3">
      <c r="A1861" s="1" t="str">
        <f>"51"</f>
        <v>51</v>
      </c>
      <c r="B1861" s="4" t="str">
        <f>"SOCIETE ESKA - REIMS"</f>
        <v>SOCIETE ESKA - REIMS</v>
      </c>
      <c r="C1861" s="4">
        <v>558502811</v>
      </c>
      <c r="D1861" s="3" t="s">
        <v>0</v>
      </c>
      <c r="E1861" s="2" t="str">
        <f>"0005701625"</f>
        <v>0005701625</v>
      </c>
      <c r="F1861" s="5">
        <v>38916</v>
      </c>
      <c r="G1861" s="5">
        <v>54789</v>
      </c>
      <c r="H1861" s="4" t="str">
        <f>""</f>
        <v/>
      </c>
      <c r="I1861" s="4" t="str">
        <f>""</f>
        <v/>
      </c>
    </row>
    <row r="1862" spans="1:9" x14ac:dyDescent="0.3">
      <c r="A1862" s="1" t="str">
        <f>"51"</f>
        <v>51</v>
      </c>
      <c r="B1862" s="4" t="str">
        <f>"SOCIETE ESKA - REIMS"</f>
        <v>SOCIETE ESKA - REIMS</v>
      </c>
      <c r="C1862" s="4">
        <v>558502811</v>
      </c>
      <c r="D1862" s="3" t="s">
        <v>0</v>
      </c>
      <c r="E1862" s="2" t="str">
        <f>"PR5100007D"</f>
        <v>PR5100007D</v>
      </c>
      <c r="F1862" s="5">
        <v>38916</v>
      </c>
      <c r="G1862" s="5">
        <v>54789</v>
      </c>
      <c r="H1862" s="4" t="str">
        <f>""</f>
        <v/>
      </c>
      <c r="I1862" s="4" t="str">
        <f>""</f>
        <v/>
      </c>
    </row>
    <row r="1863" spans="1:9" x14ac:dyDescent="0.3">
      <c r="A1863" s="1" t="str">
        <f>"51"</f>
        <v>51</v>
      </c>
      <c r="B1863" s="4" t="str">
        <f>"SME"</f>
        <v>SME</v>
      </c>
      <c r="C1863" s="4">
        <v>662025600</v>
      </c>
      <c r="D1863" s="3" t="s">
        <v>0</v>
      </c>
      <c r="E1863" s="2" t="str">
        <f>"0005701591"</f>
        <v>0005701591</v>
      </c>
      <c r="F1863" s="5">
        <v>39149</v>
      </c>
      <c r="G1863" s="5">
        <v>54789</v>
      </c>
      <c r="H1863" s="4" t="str">
        <f>""</f>
        <v/>
      </c>
      <c r="I1863" s="4" t="str">
        <f>""</f>
        <v/>
      </c>
    </row>
    <row r="1864" spans="1:9" x14ac:dyDescent="0.3">
      <c r="A1864" s="1" t="str">
        <f>"51"</f>
        <v>51</v>
      </c>
      <c r="B1864" s="4" t="str">
        <f>"SME"</f>
        <v>SME</v>
      </c>
      <c r="C1864" s="4">
        <v>662025600</v>
      </c>
      <c r="D1864" s="3" t="s">
        <v>0</v>
      </c>
      <c r="E1864" s="2" t="str">
        <f>"PR5100012D"</f>
        <v>PR5100012D</v>
      </c>
      <c r="F1864" s="5">
        <v>39149</v>
      </c>
      <c r="G1864" s="5">
        <v>54789</v>
      </c>
      <c r="H1864" s="4" t="str">
        <f>""</f>
        <v/>
      </c>
      <c r="I1864" s="4" t="str">
        <f>""</f>
        <v/>
      </c>
    </row>
    <row r="1865" spans="1:9" x14ac:dyDescent="0.3">
      <c r="A1865" s="1" t="str">
        <f>"51"</f>
        <v>51</v>
      </c>
      <c r="B1865" s="4" t="str">
        <f>"ROUGHOL SA"</f>
        <v>ROUGHOL SA</v>
      </c>
      <c r="C1865" s="4">
        <v>735620551</v>
      </c>
      <c r="D1865" s="3" t="s">
        <v>0</v>
      </c>
      <c r="E1865" s="2" t="str">
        <f>"0005703537"</f>
        <v>0005703537</v>
      </c>
      <c r="F1865" s="5">
        <v>40375</v>
      </c>
      <c r="G1865" s="5">
        <v>54789</v>
      </c>
      <c r="H1865" s="4" t="str">
        <f>""</f>
        <v/>
      </c>
      <c r="I1865" s="4" t="str">
        <f>""</f>
        <v/>
      </c>
    </row>
    <row r="1866" spans="1:9" x14ac:dyDescent="0.3">
      <c r="A1866" s="1" t="str">
        <f>"51"</f>
        <v>51</v>
      </c>
      <c r="B1866" s="4" t="str">
        <f>"ROUGHOL SA"</f>
        <v>ROUGHOL SA</v>
      </c>
      <c r="C1866" s="4">
        <v>735620551</v>
      </c>
      <c r="D1866" s="3" t="s">
        <v>0</v>
      </c>
      <c r="E1866" s="2" t="str">
        <f>"PR5100017D"</f>
        <v>PR5100017D</v>
      </c>
      <c r="F1866" s="5">
        <v>40375</v>
      </c>
      <c r="G1866" s="5">
        <v>54789</v>
      </c>
      <c r="H1866" s="4" t="str">
        <f>""</f>
        <v/>
      </c>
      <c r="I1866" s="4" t="str">
        <f>""</f>
        <v/>
      </c>
    </row>
    <row r="1867" spans="1:9" x14ac:dyDescent="0.3">
      <c r="A1867" s="1" t="str">
        <f>"51"</f>
        <v>51</v>
      </c>
      <c r="B1867" s="4" t="str">
        <f>"SA ETABLISSEMENTS GEORGES BRUHAT"</f>
        <v>SA ETABLISSEMENTS GEORGES BRUHAT</v>
      </c>
      <c r="C1867" s="4">
        <v>737320028</v>
      </c>
      <c r="D1867" s="3" t="s">
        <v>0</v>
      </c>
      <c r="E1867" s="2" t="str">
        <f>"PR5100011D"</f>
        <v>PR5100011D</v>
      </c>
      <c r="F1867" s="5">
        <v>39017</v>
      </c>
      <c r="G1867" s="5">
        <v>54789</v>
      </c>
      <c r="H1867" s="4" t="str">
        <f>""</f>
        <v/>
      </c>
      <c r="I1867" s="4" t="str">
        <f>""</f>
        <v/>
      </c>
    </row>
    <row r="1868" spans="1:9" x14ac:dyDescent="0.3">
      <c r="A1868" s="1" t="str">
        <f>"51"</f>
        <v>51</v>
      </c>
      <c r="B1868" s="4" t="str">
        <f>"SA ETABLISSEMENTS GEORGES BRUHAT"</f>
        <v>SA ETABLISSEMENTS GEORGES BRUHAT</v>
      </c>
      <c r="C1868" s="4">
        <v>737320028</v>
      </c>
      <c r="D1868" s="3" t="s">
        <v>0</v>
      </c>
      <c r="E1868" s="2" t="str">
        <f>"0005701871"</f>
        <v>0005701871</v>
      </c>
      <c r="F1868" s="5">
        <v>39017</v>
      </c>
      <c r="G1868" s="5">
        <v>54789</v>
      </c>
      <c r="H1868" s="4" t="str">
        <f>""</f>
        <v/>
      </c>
      <c r="I1868" s="4" t="str">
        <f>""</f>
        <v/>
      </c>
    </row>
    <row r="1869" spans="1:9" x14ac:dyDescent="0.3">
      <c r="A1869" s="1" t="str">
        <f>"51"</f>
        <v>51</v>
      </c>
      <c r="B1869" s="4" t="str">
        <f>"SAS SALONG CARCYCLE"</f>
        <v>SAS SALONG CARCYCLE</v>
      </c>
      <c r="C1869" s="4">
        <v>838537801</v>
      </c>
      <c r="D1869" s="3" t="s">
        <v>0</v>
      </c>
      <c r="E1869" s="2" t="str">
        <f>"PR5100019D"</f>
        <v>PR5100019D</v>
      </c>
      <c r="F1869" s="5">
        <v>43510</v>
      </c>
      <c r="G1869" s="5">
        <v>54789</v>
      </c>
      <c r="H1869" s="4" t="str">
        <f>""</f>
        <v/>
      </c>
      <c r="I1869" s="4" t="str">
        <f>""</f>
        <v/>
      </c>
    </row>
    <row r="1870" spans="1:9" x14ac:dyDescent="0.3">
      <c r="A1870" s="1" t="str">
        <f>"51"</f>
        <v>51</v>
      </c>
      <c r="B1870" s="4" t="str">
        <f>"SAS SALONG CARCYCLE"</f>
        <v>SAS SALONG CARCYCLE</v>
      </c>
      <c r="C1870" s="4">
        <v>838537801</v>
      </c>
      <c r="D1870" s="3" t="s">
        <v>0</v>
      </c>
      <c r="E1870" s="2" t="str">
        <f>"0005701492"</f>
        <v>0005701492</v>
      </c>
      <c r="F1870" s="5">
        <v>43510</v>
      </c>
      <c r="G1870" s="5">
        <v>54789</v>
      </c>
      <c r="H1870" s="4" t="str">
        <f>""</f>
        <v/>
      </c>
      <c r="I1870" s="4" t="str">
        <f>""</f>
        <v/>
      </c>
    </row>
    <row r="1871" spans="1:9" x14ac:dyDescent="0.3">
      <c r="A1871" s="1" t="str">
        <f>"52"</f>
        <v>52</v>
      </c>
      <c r="B1871" s="4" t="str">
        <f>"PLASTIFER"</f>
        <v>PLASTIFER</v>
      </c>
      <c r="C1871" s="4">
        <v>330995556</v>
      </c>
      <c r="D1871" s="3" t="s">
        <v>0</v>
      </c>
      <c r="E1871" s="2" t="str">
        <f>"0005701274"</f>
        <v>0005701274</v>
      </c>
      <c r="F1871" s="5">
        <v>43930</v>
      </c>
      <c r="G1871" s="5">
        <v>54789</v>
      </c>
      <c r="H1871" s="4" t="str">
        <f>""</f>
        <v/>
      </c>
      <c r="I1871" s="4" t="str">
        <f>""</f>
        <v/>
      </c>
    </row>
    <row r="1872" spans="1:9" x14ac:dyDescent="0.3">
      <c r="A1872" s="1" t="str">
        <f>"52"</f>
        <v>52</v>
      </c>
      <c r="B1872" s="4" t="str">
        <f>"EURL DEMOLITION AUTOMOBILES DELLA CASA"</f>
        <v>EURL DEMOLITION AUTOMOBILES DELLA CASA</v>
      </c>
      <c r="C1872" s="4">
        <v>418195491</v>
      </c>
      <c r="D1872" s="3" t="s">
        <v>0</v>
      </c>
      <c r="E1872" s="2" t="str">
        <f>"PR5200001D"</f>
        <v>PR5200001D</v>
      </c>
      <c r="F1872" s="5">
        <v>43243</v>
      </c>
      <c r="G1872" s="5">
        <v>54789</v>
      </c>
      <c r="H1872" s="4" t="str">
        <f>"/"</f>
        <v>/</v>
      </c>
      <c r="I1872" s="4" t="str">
        <f>"/"</f>
        <v>/</v>
      </c>
    </row>
    <row r="1873" spans="1:9" x14ac:dyDescent="0.3">
      <c r="A1873" s="1" t="str">
        <f>"52"</f>
        <v>52</v>
      </c>
      <c r="B1873" s="4" t="str">
        <f>"EURL DEMOLITION AUTOMOBILES DELLA CASA"</f>
        <v>EURL DEMOLITION AUTOMOBILES DELLA CASA</v>
      </c>
      <c r="C1873" s="4">
        <v>418195491</v>
      </c>
      <c r="D1873" s="3" t="s">
        <v>0</v>
      </c>
      <c r="E1873" s="2" t="str">
        <f>"0005701346"</f>
        <v>0005701346</v>
      </c>
      <c r="F1873" s="5">
        <v>43243</v>
      </c>
      <c r="G1873" s="5">
        <v>54789</v>
      </c>
      <c r="H1873" s="4" t="str">
        <f>""</f>
        <v/>
      </c>
      <c r="I1873" s="4" t="str">
        <f>""</f>
        <v/>
      </c>
    </row>
    <row r="1874" spans="1:9" x14ac:dyDescent="0.3">
      <c r="A1874" s="1" t="str">
        <f>"52"</f>
        <v>52</v>
      </c>
      <c r="B1874" s="4" t="str">
        <f>"CASSE RN 74"</f>
        <v>CASSE RN 74</v>
      </c>
      <c r="C1874" s="4">
        <v>422079707</v>
      </c>
      <c r="D1874" s="3" t="s">
        <v>0</v>
      </c>
      <c r="E1874" s="2" t="str">
        <f>"PR5200013D"</f>
        <v>PR5200013D</v>
      </c>
      <c r="F1874" s="5">
        <v>44215</v>
      </c>
      <c r="G1874" s="5">
        <v>54789</v>
      </c>
      <c r="H1874" s="4" t="str">
        <f>"/"</f>
        <v>/</v>
      </c>
      <c r="I1874" s="4" t="str">
        <f>"/"</f>
        <v>/</v>
      </c>
    </row>
    <row r="1875" spans="1:9" x14ac:dyDescent="0.3">
      <c r="A1875" s="1" t="str">
        <f>"52"</f>
        <v>52</v>
      </c>
      <c r="B1875" s="4" t="str">
        <f>"CASSE RN 74"</f>
        <v>CASSE RN 74</v>
      </c>
      <c r="C1875" s="4">
        <v>422079707</v>
      </c>
      <c r="D1875" s="3" t="s">
        <v>0</v>
      </c>
      <c r="E1875" s="2" t="str">
        <f>"0005702711"</f>
        <v>0005702711</v>
      </c>
      <c r="F1875" s="5">
        <v>44215</v>
      </c>
      <c r="G1875" s="5">
        <v>54789</v>
      </c>
      <c r="H1875" s="4" t="str">
        <f>""</f>
        <v/>
      </c>
      <c r="I1875" s="4" t="str">
        <f>""</f>
        <v/>
      </c>
    </row>
    <row r="1876" spans="1:9" x14ac:dyDescent="0.3">
      <c r="A1876" s="1" t="str">
        <f>"52"</f>
        <v>52</v>
      </c>
      <c r="B1876" s="4" t="str">
        <f>"SIRMET"</f>
        <v>SIRMET</v>
      </c>
      <c r="C1876" s="4">
        <v>432383321</v>
      </c>
      <c r="D1876" s="3" t="s">
        <v>0</v>
      </c>
      <c r="E1876" s="2" t="str">
        <f>"PR5200015D"</f>
        <v>PR5200015D</v>
      </c>
      <c r="F1876" s="5">
        <v>45202</v>
      </c>
      <c r="G1876" s="5">
        <v>54789</v>
      </c>
      <c r="H1876" s="4" t="str">
        <f>"/"</f>
        <v>/</v>
      </c>
      <c r="I1876" s="4" t="str">
        <f>"/"</f>
        <v>/</v>
      </c>
    </row>
    <row r="1877" spans="1:9" x14ac:dyDescent="0.3">
      <c r="A1877" s="1" t="str">
        <f>"52"</f>
        <v>52</v>
      </c>
      <c r="B1877" s="4" t="str">
        <f>"SIRMET"</f>
        <v>SIRMET</v>
      </c>
      <c r="C1877" s="4">
        <v>432383321</v>
      </c>
      <c r="D1877" s="3" t="s">
        <v>0</v>
      </c>
      <c r="E1877" s="2" t="str">
        <f>"0100004224"</f>
        <v>0100004224</v>
      </c>
      <c r="F1877" s="5">
        <v>45202</v>
      </c>
      <c r="G1877" s="5">
        <v>54789</v>
      </c>
      <c r="H1877" s="4" t="str">
        <f>""</f>
        <v/>
      </c>
      <c r="I1877" s="4" t="str">
        <f>""</f>
        <v/>
      </c>
    </row>
    <row r="1878" spans="1:9" x14ac:dyDescent="0.3">
      <c r="A1878" s="1" t="str">
        <f>"52"</f>
        <v>52</v>
      </c>
      <c r="B1878" s="4" t="str">
        <f>"ESKA"</f>
        <v>ESKA</v>
      </c>
      <c r="C1878" s="4">
        <v>434068797</v>
      </c>
      <c r="D1878" s="3" t="s">
        <v>0</v>
      </c>
      <c r="E1878" s="2" t="str">
        <f>"PR5200010D"</f>
        <v>PR5200010D</v>
      </c>
      <c r="F1878" s="5">
        <v>45546</v>
      </c>
      <c r="G1878" s="5">
        <v>54789</v>
      </c>
      <c r="H1878" s="4" t="str">
        <f>"/"</f>
        <v>/</v>
      </c>
      <c r="I1878" s="4" t="str">
        <f>"/"</f>
        <v>/</v>
      </c>
    </row>
    <row r="1879" spans="1:9" x14ac:dyDescent="0.3">
      <c r="A1879" s="1" t="str">
        <f>"52"</f>
        <v>52</v>
      </c>
      <c r="B1879" s="4" t="str">
        <f>"ESKA"</f>
        <v>ESKA</v>
      </c>
      <c r="C1879" s="4">
        <v>434068797</v>
      </c>
      <c r="D1879" s="3" t="s">
        <v>0</v>
      </c>
      <c r="E1879" s="2" t="str">
        <f>"0005702276"</f>
        <v>0005702276</v>
      </c>
      <c r="F1879" s="5">
        <v>45546</v>
      </c>
      <c r="G1879" s="5">
        <v>54789</v>
      </c>
      <c r="H1879" s="4" t="str">
        <f>""</f>
        <v/>
      </c>
      <c r="I1879" s="4" t="str">
        <f>""</f>
        <v/>
      </c>
    </row>
    <row r="1880" spans="1:9" x14ac:dyDescent="0.3">
      <c r="A1880" s="1" t="str">
        <f>"52"</f>
        <v>52</v>
      </c>
      <c r="B1880" s="4" t="str">
        <f>"ESKA"</f>
        <v>ESKA</v>
      </c>
      <c r="C1880" s="4">
        <v>558502811</v>
      </c>
      <c r="D1880" s="3" t="s">
        <v>0</v>
      </c>
      <c r="E1880" s="2" t="str">
        <f>"PR5200007D"</f>
        <v>PR5200007D</v>
      </c>
      <c r="F1880" s="5">
        <v>43206</v>
      </c>
      <c r="G1880" s="5">
        <v>54789</v>
      </c>
      <c r="H1880" s="4" t="str">
        <f>"/"</f>
        <v>/</v>
      </c>
      <c r="I1880" s="4" t="str">
        <f>"/"</f>
        <v>/</v>
      </c>
    </row>
    <row r="1881" spans="1:9" x14ac:dyDescent="0.3">
      <c r="A1881" s="1" t="str">
        <f>"52"</f>
        <v>52</v>
      </c>
      <c r="B1881" s="4" t="str">
        <f>"ESKA"</f>
        <v>ESKA</v>
      </c>
      <c r="C1881" s="4">
        <v>558502811</v>
      </c>
      <c r="D1881" s="3" t="s">
        <v>0</v>
      </c>
      <c r="E1881" s="2" t="str">
        <f>"0005701358"</f>
        <v>0005701358</v>
      </c>
      <c r="F1881" s="5">
        <v>43206</v>
      </c>
      <c r="G1881" s="5">
        <v>54789</v>
      </c>
      <c r="H1881" s="4" t="str">
        <f>""</f>
        <v/>
      </c>
      <c r="I1881" s="4" t="str">
        <f>""</f>
        <v/>
      </c>
    </row>
    <row r="1882" spans="1:9" x14ac:dyDescent="0.3">
      <c r="A1882" s="1" t="str">
        <f>"52"</f>
        <v>52</v>
      </c>
      <c r="B1882" s="4" t="str">
        <f>"ESKA"</f>
        <v>ESKA</v>
      </c>
      <c r="C1882" s="4">
        <v>558502811</v>
      </c>
      <c r="D1882" s="3" t="s">
        <v>0</v>
      </c>
      <c r="E1882" s="2" t="str">
        <f>"PR5200006D"</f>
        <v>PR5200006D</v>
      </c>
      <c r="F1882" s="5">
        <v>43206</v>
      </c>
      <c r="G1882" s="5">
        <v>54789</v>
      </c>
      <c r="H1882" s="4" t="str">
        <f>"/"</f>
        <v>/</v>
      </c>
      <c r="I1882" s="4" t="str">
        <f>"/"</f>
        <v>/</v>
      </c>
    </row>
    <row r="1883" spans="1:9" x14ac:dyDescent="0.3">
      <c r="A1883" s="1" t="str">
        <f>"52"</f>
        <v>52</v>
      </c>
      <c r="B1883" s="4" t="str">
        <f>"ESKA"</f>
        <v>ESKA</v>
      </c>
      <c r="C1883" s="4">
        <v>558502811</v>
      </c>
      <c r="D1883" s="3" t="s">
        <v>0</v>
      </c>
      <c r="E1883" s="2" t="str">
        <f>"0005701275"</f>
        <v>0005701275</v>
      </c>
      <c r="F1883" s="5">
        <v>43206</v>
      </c>
      <c r="G1883" s="5">
        <v>54789</v>
      </c>
      <c r="H1883" s="4" t="str">
        <f>""</f>
        <v/>
      </c>
      <c r="I1883" s="4" t="str">
        <f>""</f>
        <v/>
      </c>
    </row>
    <row r="1884" spans="1:9" x14ac:dyDescent="0.3">
      <c r="A1884" s="1" t="str">
        <f>"52"</f>
        <v>52</v>
      </c>
      <c r="B1884" s="4" t="str">
        <f>"AUTO PIECES 52"</f>
        <v>AUTO PIECES 52</v>
      </c>
      <c r="C1884" s="4">
        <v>814763249</v>
      </c>
      <c r="D1884" s="3" t="s">
        <v>0</v>
      </c>
      <c r="E1884" s="2" t="str">
        <f>"0005703076"</f>
        <v>0005703076</v>
      </c>
      <c r="F1884" s="5">
        <v>43433</v>
      </c>
      <c r="G1884" s="5">
        <v>54789</v>
      </c>
      <c r="H1884" s="4" t="str">
        <f>""</f>
        <v/>
      </c>
      <c r="I1884" s="4" t="str">
        <f>""</f>
        <v/>
      </c>
    </row>
    <row r="1885" spans="1:9" x14ac:dyDescent="0.3">
      <c r="A1885" s="1" t="str">
        <f>"52"</f>
        <v>52</v>
      </c>
      <c r="B1885" s="4" t="str">
        <f>"POS BAZIN"</f>
        <v>POS BAZIN</v>
      </c>
      <c r="C1885" s="4">
        <v>918345257</v>
      </c>
      <c r="D1885" s="3" t="s">
        <v>0</v>
      </c>
      <c r="E1885" s="2" t="str">
        <f>"PR5200003D"</f>
        <v>PR5200003D</v>
      </c>
      <c r="F1885" s="5">
        <v>45133</v>
      </c>
      <c r="G1885" s="5">
        <v>54789</v>
      </c>
      <c r="H1885" s="4" t="str">
        <f>"/"</f>
        <v>/</v>
      </c>
      <c r="I1885" s="4" t="str">
        <f>"/"</f>
        <v>/</v>
      </c>
    </row>
    <row r="1886" spans="1:9" x14ac:dyDescent="0.3">
      <c r="A1886" s="1" t="str">
        <f>"52"</f>
        <v>52</v>
      </c>
      <c r="B1886" s="4" t="str">
        <f>"POS BAZIN"</f>
        <v>POS BAZIN</v>
      </c>
      <c r="C1886" s="4">
        <v>918345257</v>
      </c>
      <c r="D1886" s="3" t="s">
        <v>0</v>
      </c>
      <c r="E1886" s="2" t="str">
        <f>"00057001311"</f>
        <v>00057001311</v>
      </c>
      <c r="F1886" s="5">
        <v>45133</v>
      </c>
      <c r="G1886" s="5">
        <v>54789</v>
      </c>
      <c r="H1886" s="4" t="str">
        <f>""</f>
        <v/>
      </c>
      <c r="I1886" s="4" t="str">
        <f>""</f>
        <v/>
      </c>
    </row>
    <row r="1887" spans="1:9" x14ac:dyDescent="0.3">
      <c r="A1887" s="1" t="str">
        <f>"53"</f>
        <v>53</v>
      </c>
      <c r="B1887" s="4" t="str">
        <f>"SOCIETE PICHEREAU"</f>
        <v>SOCIETE PICHEREAU</v>
      </c>
      <c r="C1887" s="4">
        <v>313344830</v>
      </c>
      <c r="D1887" s="3" t="s">
        <v>0</v>
      </c>
      <c r="E1887" s="2" t="str">
        <f>"PR5300008D"</f>
        <v>PR5300008D</v>
      </c>
      <c r="F1887" s="5">
        <v>39013</v>
      </c>
      <c r="G1887" s="5">
        <v>54789</v>
      </c>
      <c r="H1887" s="4" t="str">
        <f>""</f>
        <v/>
      </c>
      <c r="I1887" s="4" t="str">
        <f>""</f>
        <v/>
      </c>
    </row>
    <row r="1888" spans="1:9" x14ac:dyDescent="0.3">
      <c r="A1888" s="1" t="str">
        <f>"53"</f>
        <v>53</v>
      </c>
      <c r="B1888" s="4" t="str">
        <f>"SOCIETE PICHEREAU"</f>
        <v>SOCIETE PICHEREAU</v>
      </c>
      <c r="C1888" s="4">
        <v>313344830</v>
      </c>
      <c r="D1888" s="3" t="s">
        <v>0</v>
      </c>
      <c r="E1888" s="2" t="str">
        <f>"0006303823"</f>
        <v>0006303823</v>
      </c>
      <c r="F1888" s="5">
        <v>39013</v>
      </c>
      <c r="G1888" s="5">
        <v>54789</v>
      </c>
      <c r="H1888" s="4" t="str">
        <f>""</f>
        <v/>
      </c>
      <c r="I1888" s="4" t="str">
        <f>""</f>
        <v/>
      </c>
    </row>
    <row r="1889" spans="1:9" x14ac:dyDescent="0.3">
      <c r="A1889" s="1" t="str">
        <f>"53"</f>
        <v>53</v>
      </c>
      <c r="B1889" s="4" t="str">
        <f>"ETABLISSEMENTS POIRIER"</f>
        <v>ETABLISSEMENTS POIRIER</v>
      </c>
      <c r="C1889" s="4">
        <v>314593583</v>
      </c>
      <c r="D1889" s="3" t="s">
        <v>0</v>
      </c>
      <c r="E1889" s="2" t="str">
        <f>"PR5300004D"</f>
        <v>PR5300004D</v>
      </c>
      <c r="F1889" s="5">
        <v>39842</v>
      </c>
      <c r="G1889" s="5">
        <v>54789</v>
      </c>
      <c r="H1889" s="4" t="str">
        <f>""</f>
        <v/>
      </c>
      <c r="I1889" s="4" t="str">
        <f>""</f>
        <v/>
      </c>
    </row>
    <row r="1890" spans="1:9" x14ac:dyDescent="0.3">
      <c r="A1890" s="1" t="str">
        <f>"53"</f>
        <v>53</v>
      </c>
      <c r="B1890" s="4" t="str">
        <f>"ETABLISSEMENTS POIRIER"</f>
        <v>ETABLISSEMENTS POIRIER</v>
      </c>
      <c r="C1890" s="4">
        <v>314593583</v>
      </c>
      <c r="D1890" s="3" t="s">
        <v>0</v>
      </c>
      <c r="E1890" s="2" t="str">
        <f>"0006303817"</f>
        <v>0006303817</v>
      </c>
      <c r="F1890" s="5">
        <v>39842</v>
      </c>
      <c r="G1890" s="5">
        <v>54789</v>
      </c>
      <c r="H1890" s="4" t="str">
        <f>""</f>
        <v/>
      </c>
      <c r="I1890" s="4" t="str">
        <f>""</f>
        <v/>
      </c>
    </row>
    <row r="1891" spans="1:9" x14ac:dyDescent="0.3">
      <c r="A1891" s="1" t="str">
        <f>"53"</f>
        <v>53</v>
      </c>
      <c r="B1891" s="4" t="str">
        <f>"SARL JOUAULT"</f>
        <v>SARL JOUAULT</v>
      </c>
      <c r="C1891" s="4">
        <v>328467857</v>
      </c>
      <c r="D1891" s="3" t="s">
        <v>0</v>
      </c>
      <c r="E1891" s="2" t="str">
        <f>"PR5300007D"</f>
        <v>PR5300007D</v>
      </c>
      <c r="F1891" s="5">
        <v>39013</v>
      </c>
      <c r="G1891" s="5">
        <v>54789</v>
      </c>
      <c r="H1891" s="4" t="str">
        <f>""</f>
        <v/>
      </c>
      <c r="I1891" s="4" t="str">
        <f>""</f>
        <v/>
      </c>
    </row>
    <row r="1892" spans="1:9" x14ac:dyDescent="0.3">
      <c r="A1892" s="1" t="str">
        <f>"53"</f>
        <v>53</v>
      </c>
      <c r="B1892" s="4" t="str">
        <f>"OLIVIER ET FILS"</f>
        <v>OLIVIER ET FILS</v>
      </c>
      <c r="C1892" s="4">
        <v>352035851</v>
      </c>
      <c r="D1892" s="3" t="s">
        <v>0</v>
      </c>
      <c r="E1892" s="2" t="str">
        <f>"PR3100002D"</f>
        <v>PR3100002D</v>
      </c>
      <c r="F1892" s="5">
        <v>43262</v>
      </c>
      <c r="G1892" s="5">
        <v>54789</v>
      </c>
      <c r="H1892" s="4" t="str">
        <f>""</f>
        <v/>
      </c>
      <c r="I1892" s="4" t="str">
        <f>""</f>
        <v/>
      </c>
    </row>
    <row r="1893" spans="1:9" x14ac:dyDescent="0.3">
      <c r="A1893" s="1" t="str">
        <f>"53"</f>
        <v>53</v>
      </c>
      <c r="B1893" s="4" t="str">
        <f>"FERRON RECYCLAGE SARL"</f>
        <v>FERRON RECYCLAGE SARL</v>
      </c>
      <c r="C1893" s="4">
        <v>384480935</v>
      </c>
      <c r="D1893" s="3" t="s">
        <v>0</v>
      </c>
      <c r="E1893" s="2" t="str">
        <f>"0006303820"</f>
        <v>0006303820</v>
      </c>
      <c r="F1893" s="5">
        <v>42479</v>
      </c>
      <c r="G1893" s="5">
        <v>54789</v>
      </c>
      <c r="H1893" s="4" t="str">
        <f>""</f>
        <v/>
      </c>
      <c r="I1893" s="4" t="str">
        <f>""</f>
        <v/>
      </c>
    </row>
    <row r="1894" spans="1:9" x14ac:dyDescent="0.3">
      <c r="A1894" s="1" t="str">
        <f>"53"</f>
        <v>53</v>
      </c>
      <c r="B1894" s="4" t="str">
        <f>"SARL MICHEL HACQUES"</f>
        <v>SARL MICHEL HACQUES</v>
      </c>
      <c r="C1894" s="4">
        <v>384480935</v>
      </c>
      <c r="D1894" s="3" t="s">
        <v>0</v>
      </c>
      <c r="E1894" s="2" t="str">
        <f>"PR5300005D"</f>
        <v>PR5300005D</v>
      </c>
      <c r="F1894" s="5">
        <v>42479</v>
      </c>
      <c r="G1894" s="5">
        <v>54789</v>
      </c>
      <c r="H1894" s="4" t="str">
        <f>""</f>
        <v/>
      </c>
      <c r="I1894" s="4" t="str">
        <f>""</f>
        <v/>
      </c>
    </row>
    <row r="1895" spans="1:9" x14ac:dyDescent="0.3">
      <c r="A1895" s="1" t="str">
        <f>"53"</f>
        <v>53</v>
      </c>
      <c r="B1895" s="4" t="str">
        <f>"SARL TERROITIN ET FILS"</f>
        <v>SARL TERROITIN ET FILS</v>
      </c>
      <c r="C1895" s="4">
        <v>397986563</v>
      </c>
      <c r="D1895" s="3" t="s">
        <v>0</v>
      </c>
      <c r="E1895" s="2" t="str">
        <f>"PR5300009D"</f>
        <v>PR5300009D</v>
      </c>
      <c r="F1895" s="5">
        <v>39013</v>
      </c>
      <c r="G1895" s="5">
        <v>54789</v>
      </c>
      <c r="H1895" s="4" t="str">
        <f>""</f>
        <v/>
      </c>
      <c r="I1895" s="4" t="str">
        <f>""</f>
        <v/>
      </c>
    </row>
    <row r="1896" spans="1:9" x14ac:dyDescent="0.3">
      <c r="A1896" s="1" t="str">
        <f>"53"</f>
        <v>53</v>
      </c>
      <c r="B1896" s="4" t="str">
        <f>"SARL TERROITIN ET FILS"</f>
        <v>SARL TERROITIN ET FILS</v>
      </c>
      <c r="C1896" s="4">
        <v>397986563</v>
      </c>
      <c r="D1896" s="3" t="s">
        <v>0</v>
      </c>
      <c r="E1896" s="2" t="str">
        <f>"0006303680"</f>
        <v>0006303680</v>
      </c>
      <c r="F1896" s="5">
        <v>39013</v>
      </c>
      <c r="G1896" s="5">
        <v>54789</v>
      </c>
      <c r="H1896" s="4" t="str">
        <f>""</f>
        <v/>
      </c>
      <c r="I1896" s="4" t="str">
        <f>""</f>
        <v/>
      </c>
    </row>
    <row r="1897" spans="1:9" x14ac:dyDescent="0.3">
      <c r="A1897" s="1" t="str">
        <f>"53"</f>
        <v>53</v>
      </c>
      <c r="B1897" s="4" t="str">
        <f>"PASSENAUD RECYCLAGE"</f>
        <v>PASSENAUD RECYCLAGE</v>
      </c>
      <c r="C1897" s="4">
        <v>412242315</v>
      </c>
      <c r="D1897" s="3" t="s">
        <v>0</v>
      </c>
      <c r="E1897" s="2" t="str">
        <f>"PR5300006D"</f>
        <v>PR5300006D</v>
      </c>
      <c r="F1897" s="5">
        <v>39013</v>
      </c>
      <c r="G1897" s="5">
        <v>54789</v>
      </c>
      <c r="H1897" s="4" t="str">
        <f>""</f>
        <v/>
      </c>
      <c r="I1897" s="4" t="str">
        <f>""</f>
        <v/>
      </c>
    </row>
    <row r="1898" spans="1:9" x14ac:dyDescent="0.3">
      <c r="A1898" s="1" t="str">
        <f>"53"</f>
        <v>53</v>
      </c>
      <c r="B1898" s="4" t="str">
        <f>"PASSENAUD RECYCLAGE"</f>
        <v>PASSENAUD RECYCLAGE</v>
      </c>
      <c r="C1898" s="4">
        <v>412242315</v>
      </c>
      <c r="D1898" s="3" t="s">
        <v>0</v>
      </c>
      <c r="E1898" s="2" t="str">
        <f>"0006304620"</f>
        <v>0006304620</v>
      </c>
      <c r="F1898" s="5">
        <v>39013</v>
      </c>
      <c r="G1898" s="5">
        <v>54789</v>
      </c>
      <c r="H1898" s="4" t="str">
        <f>""</f>
        <v/>
      </c>
      <c r="I1898" s="4" t="str">
        <f>""</f>
        <v/>
      </c>
    </row>
    <row r="1899" spans="1:9" x14ac:dyDescent="0.3">
      <c r="A1899" s="1" t="str">
        <f>"53"</f>
        <v>53</v>
      </c>
      <c r="B1899" s="4" t="str">
        <f>"CASSE RN75"</f>
        <v>CASSE RN75</v>
      </c>
      <c r="C1899" s="4">
        <v>422079707</v>
      </c>
      <c r="D1899" s="3" t="s">
        <v>0</v>
      </c>
      <c r="E1899" s="2" t="str">
        <f>"0005702711"</f>
        <v>0005702711</v>
      </c>
      <c r="F1899" s="5">
        <v>44215</v>
      </c>
      <c r="G1899" s="5">
        <v>54789</v>
      </c>
      <c r="H1899" s="4" t="str">
        <f>""</f>
        <v/>
      </c>
      <c r="I1899" s="4" t="str">
        <f>""</f>
        <v/>
      </c>
    </row>
    <row r="1900" spans="1:9" x14ac:dyDescent="0.3">
      <c r="A1900" s="1" t="str">
        <f>"53"</f>
        <v>53</v>
      </c>
      <c r="B1900" s="4" t="str">
        <f>"CPMV"</f>
        <v>CPMV</v>
      </c>
      <c r="C1900" s="4">
        <v>453690000</v>
      </c>
      <c r="D1900" s="3" t="s">
        <v>0</v>
      </c>
      <c r="E1900" s="2" t="str">
        <f>"0006303713"</f>
        <v>0006303713</v>
      </c>
      <c r="F1900" s="5">
        <v>39013</v>
      </c>
      <c r="G1900" s="5">
        <v>54789</v>
      </c>
      <c r="H1900" s="4" t="str">
        <f>""</f>
        <v/>
      </c>
      <c r="I1900" s="4" t="str">
        <f>""</f>
        <v/>
      </c>
    </row>
    <row r="1901" spans="1:9" x14ac:dyDescent="0.3">
      <c r="A1901" s="1" t="str">
        <f>"53"</f>
        <v>53</v>
      </c>
      <c r="B1901" s="4" t="str">
        <f>"CPMV"</f>
        <v>CPMV</v>
      </c>
      <c r="C1901" s="4">
        <v>453690000</v>
      </c>
      <c r="D1901" s="3" t="s">
        <v>0</v>
      </c>
      <c r="E1901" s="2" t="str">
        <f>"PR5300003D"</f>
        <v>PR5300003D</v>
      </c>
      <c r="F1901" s="5">
        <v>39013</v>
      </c>
      <c r="G1901" s="5">
        <v>54789</v>
      </c>
      <c r="H1901" s="4" t="str">
        <f>""</f>
        <v/>
      </c>
      <c r="I1901" s="4" t="str">
        <f>""</f>
        <v/>
      </c>
    </row>
    <row r="1902" spans="1:9" x14ac:dyDescent="0.3">
      <c r="A1902" s="1" t="str">
        <f>"53"</f>
        <v>53</v>
      </c>
      <c r="B1902" s="4" t="str">
        <f>"SARL BESNEUX"</f>
        <v>SARL BESNEUX</v>
      </c>
      <c r="C1902" s="4">
        <v>489726968</v>
      </c>
      <c r="D1902" s="3" t="s">
        <v>0</v>
      </c>
      <c r="E1902" s="2" t="str">
        <f>"0006303826"</f>
        <v>0006303826</v>
      </c>
      <c r="F1902" s="5">
        <v>40688</v>
      </c>
      <c r="G1902" s="5">
        <v>54789</v>
      </c>
      <c r="H1902" s="4" t="str">
        <f>""</f>
        <v/>
      </c>
      <c r="I1902" s="4" t="str">
        <f>""</f>
        <v/>
      </c>
    </row>
    <row r="1903" spans="1:9" x14ac:dyDescent="0.3">
      <c r="A1903" s="1" t="str">
        <f>"53"</f>
        <v>53</v>
      </c>
      <c r="B1903" s="4" t="str">
        <f>"SARL BESNEUX"</f>
        <v>SARL BESNEUX</v>
      </c>
      <c r="C1903" s="4">
        <v>489726968</v>
      </c>
      <c r="D1903" s="3" t="s">
        <v>0</v>
      </c>
      <c r="E1903" s="2" t="str">
        <f>"PR53000010D"</f>
        <v>PR53000010D</v>
      </c>
      <c r="F1903" s="5">
        <v>40688</v>
      </c>
      <c r="G1903" s="5">
        <v>54789</v>
      </c>
      <c r="H1903" s="4" t="str">
        <f>""</f>
        <v/>
      </c>
      <c r="I1903" s="4" t="str">
        <f>""</f>
        <v/>
      </c>
    </row>
    <row r="1904" spans="1:9" x14ac:dyDescent="0.3">
      <c r="A1904" s="1" t="str">
        <f>"53"</f>
        <v>53</v>
      </c>
      <c r="B1904" s="4" t="str">
        <f>"ATLANTIC RECYC'AUTO"</f>
        <v>ATLANTIC RECYC'AUTO</v>
      </c>
      <c r="C1904" s="4">
        <v>523974756</v>
      </c>
      <c r="D1904" s="3" t="s">
        <v>0</v>
      </c>
      <c r="E1904" s="2" t="str">
        <f>"PR5300011D"</f>
        <v>PR5300011D</v>
      </c>
      <c r="F1904" s="5">
        <v>44239</v>
      </c>
      <c r="G1904" s="5">
        <v>54789</v>
      </c>
      <c r="H1904" s="4" t="str">
        <f>""</f>
        <v/>
      </c>
      <c r="I1904" s="4" t="str">
        <f>""</f>
        <v/>
      </c>
    </row>
    <row r="1905" spans="1:9" x14ac:dyDescent="0.3">
      <c r="A1905" s="1" t="str">
        <f>"53"</f>
        <v>53</v>
      </c>
      <c r="B1905" s="4" t="str">
        <f>"ATLANTIC RECYC'AUTO"</f>
        <v>ATLANTIC RECYC'AUTO</v>
      </c>
      <c r="C1905" s="4">
        <v>523974756</v>
      </c>
      <c r="D1905" s="3" t="s">
        <v>0</v>
      </c>
      <c r="E1905" s="2" t="str">
        <f>"0006303573"</f>
        <v>0006303573</v>
      </c>
      <c r="F1905" s="5">
        <v>44239</v>
      </c>
      <c r="G1905" s="5">
        <v>54789</v>
      </c>
      <c r="H1905" s="4" t="str">
        <f>""</f>
        <v/>
      </c>
      <c r="I1905" s="4" t="str">
        <f>""</f>
        <v/>
      </c>
    </row>
    <row r="1906" spans="1:9" x14ac:dyDescent="0.3">
      <c r="A1906" s="1" t="str">
        <f>"54"</f>
        <v>54</v>
      </c>
      <c r="B1906" s="4" t="str">
        <f>"DANIEL DEMANET"</f>
        <v>DANIEL DEMANET</v>
      </c>
      <c r="C1906" s="4">
        <v>312306665</v>
      </c>
      <c r="D1906" s="3" t="s">
        <v>0</v>
      </c>
      <c r="E1906" s="2" t="str">
        <f>"0006200338"</f>
        <v>0006200338</v>
      </c>
      <c r="F1906" s="5">
        <v>43285</v>
      </c>
      <c r="G1906" s="5">
        <v>54789</v>
      </c>
      <c r="H1906" s="4" t="str">
        <f>""</f>
        <v/>
      </c>
      <c r="I1906" s="4" t="str">
        <f>""</f>
        <v/>
      </c>
    </row>
    <row r="1907" spans="1:9" x14ac:dyDescent="0.3">
      <c r="A1907" s="1" t="str">
        <f>"54"</f>
        <v>54</v>
      </c>
      <c r="B1907" s="4" t="str">
        <f>"DANIEL DEMANET"</f>
        <v>DANIEL DEMANET</v>
      </c>
      <c r="C1907" s="4">
        <v>312306665</v>
      </c>
      <c r="D1907" s="3" t="s">
        <v>0</v>
      </c>
      <c r="E1907" s="2" t="str">
        <f>"PR5400002D"</f>
        <v>PR5400002D</v>
      </c>
      <c r="F1907" s="5">
        <v>43285</v>
      </c>
      <c r="G1907" s="5">
        <v>54789</v>
      </c>
      <c r="H1907" s="4" t="str">
        <f>""</f>
        <v/>
      </c>
      <c r="I1907" s="4" t="str">
        <f>""</f>
        <v/>
      </c>
    </row>
    <row r="1908" spans="1:9" x14ac:dyDescent="0.3">
      <c r="A1908" s="1" t="str">
        <f>"54"</f>
        <v>54</v>
      </c>
      <c r="B1908" s="4" t="str">
        <f>"ETABLISSEMENTS PAUL DUBOIS"</f>
        <v>ETABLISSEMENTS PAUL DUBOIS</v>
      </c>
      <c r="C1908" s="4">
        <v>329950034</v>
      </c>
      <c r="D1908" s="3" t="s">
        <v>0</v>
      </c>
      <c r="E1908" s="2" t="str">
        <f>"PR5400013D"</f>
        <v>PR5400013D</v>
      </c>
      <c r="F1908" s="5">
        <v>39080</v>
      </c>
      <c r="G1908" s="5">
        <v>54789</v>
      </c>
      <c r="H1908" s="4" t="str">
        <f>""</f>
        <v/>
      </c>
      <c r="I1908" s="4" t="str">
        <f>""</f>
        <v/>
      </c>
    </row>
    <row r="1909" spans="1:9" x14ac:dyDescent="0.3">
      <c r="A1909" s="1" t="str">
        <f>"54"</f>
        <v>54</v>
      </c>
      <c r="B1909" s="4" t="str">
        <f>"ETABLISSEMENTS PAUL DUBOIS"</f>
        <v>ETABLISSEMENTS PAUL DUBOIS</v>
      </c>
      <c r="C1909" s="4">
        <v>329950034</v>
      </c>
      <c r="D1909" s="3" t="s">
        <v>0</v>
      </c>
      <c r="E1909" s="2" t="str">
        <f>"0006200415"</f>
        <v>0006200415</v>
      </c>
      <c r="F1909" s="5">
        <v>39080</v>
      </c>
      <c r="G1909" s="5">
        <v>54789</v>
      </c>
      <c r="H1909" s="4" t="str">
        <f>""</f>
        <v/>
      </c>
      <c r="I1909" s="4" t="str">
        <f>""</f>
        <v/>
      </c>
    </row>
    <row r="1910" spans="1:9" x14ac:dyDescent="0.3">
      <c r="A1910" s="1" t="str">
        <f>"54"</f>
        <v>54</v>
      </c>
      <c r="B1910" s="4" t="str">
        <f>"SOCIETE AUTO CASSE SERVICE"</f>
        <v>SOCIETE AUTO CASSE SERVICE</v>
      </c>
      <c r="C1910" s="4">
        <v>330448200</v>
      </c>
      <c r="D1910" s="3" t="s">
        <v>0</v>
      </c>
      <c r="E1910" s="2" t="str">
        <f>"0006200230"</f>
        <v>0006200230</v>
      </c>
      <c r="F1910" s="5">
        <v>38861</v>
      </c>
      <c r="G1910" s="5">
        <v>54789</v>
      </c>
      <c r="H1910" s="4" t="str">
        <f>""</f>
        <v/>
      </c>
      <c r="I1910" s="4" t="str">
        <f>""</f>
        <v/>
      </c>
    </row>
    <row r="1911" spans="1:9" x14ac:dyDescent="0.3">
      <c r="A1911" s="1" t="str">
        <f>"54"</f>
        <v>54</v>
      </c>
      <c r="B1911" s="4" t="str">
        <f>"SOCIETE AUTO CASSE SERVICE"</f>
        <v>SOCIETE AUTO CASSE SERVICE</v>
      </c>
      <c r="C1911" s="4">
        <v>330448200</v>
      </c>
      <c r="D1911" s="3" t="s">
        <v>0</v>
      </c>
      <c r="E1911" s="2" t="str">
        <f>"PR5400004D"</f>
        <v>PR5400004D</v>
      </c>
      <c r="F1911" s="5">
        <v>38861</v>
      </c>
      <c r="G1911" s="5">
        <v>54789</v>
      </c>
      <c r="H1911" s="4" t="str">
        <f>""</f>
        <v/>
      </c>
      <c r="I1911" s="4" t="str">
        <f>""</f>
        <v/>
      </c>
    </row>
    <row r="1912" spans="1:9" x14ac:dyDescent="0.3">
      <c r="A1912" s="1" t="str">
        <f>"54"</f>
        <v>54</v>
      </c>
      <c r="B1912" s="4" t="str">
        <f>"SURPLUS AUTOS"</f>
        <v>SURPLUS AUTOS</v>
      </c>
      <c r="C1912" s="4">
        <v>334489622</v>
      </c>
      <c r="D1912" s="3" t="s">
        <v>0</v>
      </c>
      <c r="E1912" s="2" t="str">
        <f>"PR3100003D"</f>
        <v>PR3100003D</v>
      </c>
      <c r="F1912" s="5">
        <v>43291</v>
      </c>
      <c r="G1912" s="5">
        <v>54789</v>
      </c>
      <c r="H1912" s="4" t="str">
        <f>""</f>
        <v/>
      </c>
      <c r="I1912" s="4" t="str">
        <f>""</f>
        <v/>
      </c>
    </row>
    <row r="1913" spans="1:9" x14ac:dyDescent="0.3">
      <c r="A1913" s="1" t="str">
        <f>"54"</f>
        <v>54</v>
      </c>
      <c r="B1913" s="4" t="str">
        <f>"SOCIETE ICD"</f>
        <v>SOCIETE ICD</v>
      </c>
      <c r="C1913" s="4">
        <v>383169133</v>
      </c>
      <c r="D1913" s="3" t="s">
        <v>0</v>
      </c>
      <c r="E1913" s="2" t="str">
        <f>"0006200608"</f>
        <v>0006200608</v>
      </c>
      <c r="F1913" s="5">
        <v>43280</v>
      </c>
      <c r="G1913" s="5">
        <v>54789</v>
      </c>
      <c r="H1913" s="4" t="str">
        <f>""</f>
        <v/>
      </c>
      <c r="I1913" s="4" t="str">
        <f>""</f>
        <v/>
      </c>
    </row>
    <row r="1914" spans="1:9" x14ac:dyDescent="0.3">
      <c r="A1914" s="1" t="str">
        <f>"54"</f>
        <v>54</v>
      </c>
      <c r="B1914" s="4" t="str">
        <f>"SOCIETE AUTO DISCOUNT 54"</f>
        <v>SOCIETE AUTO DISCOUNT 54</v>
      </c>
      <c r="C1914" s="4">
        <v>383169133</v>
      </c>
      <c r="D1914" s="3" t="s">
        <v>0</v>
      </c>
      <c r="E1914" s="2" t="str">
        <f>"PR5400008D"</f>
        <v>PR5400008D</v>
      </c>
      <c r="F1914" s="5">
        <v>38898</v>
      </c>
      <c r="G1914" s="5">
        <v>54789</v>
      </c>
      <c r="H1914" s="4" t="str">
        <f>""</f>
        <v/>
      </c>
      <c r="I1914" s="4" t="str">
        <f>""</f>
        <v/>
      </c>
    </row>
    <row r="1915" spans="1:9" x14ac:dyDescent="0.3">
      <c r="A1915" s="1" t="str">
        <f>"54"</f>
        <v>54</v>
      </c>
      <c r="B1915" s="4" t="str">
        <f>"SOCIETE ICD"</f>
        <v>SOCIETE ICD</v>
      </c>
      <c r="C1915" s="4">
        <v>383169133</v>
      </c>
      <c r="D1915" s="3" t="s">
        <v>0</v>
      </c>
      <c r="E1915" s="2" t="str">
        <f>"PR5400009D"</f>
        <v>PR5400009D</v>
      </c>
      <c r="F1915" s="5">
        <v>41088</v>
      </c>
      <c r="G1915" s="5">
        <v>54789</v>
      </c>
      <c r="H1915" s="4" t="str">
        <f>""</f>
        <v/>
      </c>
      <c r="I1915" s="4" t="str">
        <f>""</f>
        <v/>
      </c>
    </row>
    <row r="1916" spans="1:9" x14ac:dyDescent="0.3">
      <c r="A1916" s="1" t="str">
        <f>"54"</f>
        <v>54</v>
      </c>
      <c r="B1916" s="4" t="str">
        <f>"SOCIETE ICD"</f>
        <v>SOCIETE ICD</v>
      </c>
      <c r="C1916" s="4">
        <v>383169133</v>
      </c>
      <c r="D1916" s="3" t="s">
        <v>0</v>
      </c>
      <c r="E1916" s="2" t="str">
        <f>"PR5400009D"</f>
        <v>PR5400009D</v>
      </c>
      <c r="F1916" s="5">
        <v>43280</v>
      </c>
      <c r="G1916" s="5">
        <v>54789</v>
      </c>
      <c r="H1916" s="4" t="str">
        <f>""</f>
        <v/>
      </c>
      <c r="I1916" s="4" t="str">
        <f>""</f>
        <v/>
      </c>
    </row>
    <row r="1917" spans="1:9" x14ac:dyDescent="0.3">
      <c r="A1917" s="1" t="str">
        <f>"54"</f>
        <v>54</v>
      </c>
      <c r="B1917" s="4" t="str">
        <f>"SOCIETE AUTO DISCOUNT 54"</f>
        <v>SOCIETE AUTO DISCOUNT 54</v>
      </c>
      <c r="C1917" s="4">
        <v>383169133</v>
      </c>
      <c r="D1917" s="3" t="s">
        <v>0</v>
      </c>
      <c r="E1917" s="2" t="str">
        <f>"0006207718"</f>
        <v>0006207718</v>
      </c>
      <c r="F1917" s="5">
        <v>38898</v>
      </c>
      <c r="G1917" s="5">
        <v>54789</v>
      </c>
      <c r="H1917" s="4" t="str">
        <f>""</f>
        <v/>
      </c>
      <c r="I1917" s="4" t="str">
        <f>""</f>
        <v/>
      </c>
    </row>
    <row r="1918" spans="1:9" x14ac:dyDescent="0.3">
      <c r="A1918" s="1" t="str">
        <f>"54"</f>
        <v>54</v>
      </c>
      <c r="B1918" s="4" t="str">
        <f>"SAS PAM MOTOS"</f>
        <v>SAS PAM MOTOS</v>
      </c>
      <c r="C1918" s="4">
        <v>404412678</v>
      </c>
      <c r="D1918" s="3" t="s">
        <v>0</v>
      </c>
      <c r="E1918" s="2" t="str">
        <f>"PR5400021D"</f>
        <v>PR5400021D</v>
      </c>
      <c r="F1918" s="5">
        <v>45446</v>
      </c>
      <c r="G1918" s="5">
        <v>54789</v>
      </c>
      <c r="H1918" s="4" t="str">
        <f>""</f>
        <v/>
      </c>
      <c r="I1918" s="4" t="str">
        <f>""</f>
        <v/>
      </c>
    </row>
    <row r="1919" spans="1:9" x14ac:dyDescent="0.3">
      <c r="A1919" s="1" t="str">
        <f>"54"</f>
        <v>54</v>
      </c>
      <c r="B1919" s="4" t="str">
        <f>"SAS PAM MOTOS"</f>
        <v>SAS PAM MOTOS</v>
      </c>
      <c r="C1919" s="4">
        <v>404412678</v>
      </c>
      <c r="D1919" s="3" t="s">
        <v>0</v>
      </c>
      <c r="E1919" s="2" t="str">
        <f>"PR540021D"</f>
        <v>PR540021D</v>
      </c>
      <c r="F1919" s="5">
        <v>45446</v>
      </c>
      <c r="G1919" s="5">
        <v>54789</v>
      </c>
      <c r="H1919" s="4" t="str">
        <f>""</f>
        <v/>
      </c>
      <c r="I1919" s="4" t="str">
        <f>""</f>
        <v/>
      </c>
    </row>
    <row r="1920" spans="1:9" x14ac:dyDescent="0.3">
      <c r="A1920" s="1" t="str">
        <f>"54"</f>
        <v>54</v>
      </c>
      <c r="B1920" s="4" t="str">
        <f>"SOCIETE LEXY AUTO PIECES OCCASIONS"</f>
        <v>SOCIETE LEXY AUTO PIECES OCCASIONS</v>
      </c>
      <c r="C1920" s="4">
        <v>409004504</v>
      </c>
      <c r="D1920" s="3" t="s">
        <v>0</v>
      </c>
      <c r="E1920" s="2" t="str">
        <f>"PR5400003D"</f>
        <v>PR5400003D</v>
      </c>
      <c r="F1920" s="5">
        <v>41080</v>
      </c>
      <c r="G1920" s="5">
        <v>54789</v>
      </c>
      <c r="H1920" s="4" t="str">
        <f>""</f>
        <v/>
      </c>
      <c r="I1920" s="4" t="str">
        <f>""</f>
        <v/>
      </c>
    </row>
    <row r="1921" spans="1:9" x14ac:dyDescent="0.3">
      <c r="A1921" s="1" t="str">
        <f>"54"</f>
        <v>54</v>
      </c>
      <c r="B1921" s="4" t="str">
        <f>"SOCIETE LEXY AUTO PIECES OCCASIONS"</f>
        <v>SOCIETE LEXY AUTO PIECES OCCASIONS</v>
      </c>
      <c r="C1921" s="4">
        <v>409004504</v>
      </c>
      <c r="D1921" s="3" t="s">
        <v>0</v>
      </c>
      <c r="E1921" s="2" t="str">
        <f>"0006200327"</f>
        <v>0006200327</v>
      </c>
      <c r="F1921" s="5">
        <v>41080</v>
      </c>
      <c r="G1921" s="5">
        <v>54789</v>
      </c>
      <c r="H1921" s="4" t="str">
        <f>""</f>
        <v/>
      </c>
      <c r="I1921" s="4" t="str">
        <f>""</f>
        <v/>
      </c>
    </row>
    <row r="1922" spans="1:9" x14ac:dyDescent="0.3">
      <c r="A1922" s="1" t="str">
        <f>"54"</f>
        <v>54</v>
      </c>
      <c r="B1922" s="4" t="str">
        <f>"SARL ALLO CASSE AUTO"</f>
        <v>SARL ALLO CASSE AUTO</v>
      </c>
      <c r="C1922" s="4">
        <v>521350876</v>
      </c>
      <c r="D1922" s="3" t="s">
        <v>0</v>
      </c>
      <c r="E1922" s="2" t="str">
        <f>"PR5400001D"</f>
        <v>PR5400001D</v>
      </c>
      <c r="F1922" s="5">
        <v>43285</v>
      </c>
      <c r="G1922" s="5">
        <v>54789</v>
      </c>
      <c r="H1922" s="4" t="str">
        <f>""</f>
        <v/>
      </c>
      <c r="I1922" s="4" t="str">
        <f>""</f>
        <v/>
      </c>
    </row>
    <row r="1923" spans="1:9" x14ac:dyDescent="0.3">
      <c r="A1923" s="1" t="str">
        <f>"54"</f>
        <v>54</v>
      </c>
      <c r="B1923" s="4" t="str">
        <f>"SARL ALLO CASSE AUTO"</f>
        <v>SARL ALLO CASSE AUTO</v>
      </c>
      <c r="C1923" s="4">
        <v>521350876</v>
      </c>
      <c r="D1923" s="3" t="s">
        <v>0</v>
      </c>
      <c r="E1923" s="2" t="str">
        <f>"0006207636"</f>
        <v>0006207636</v>
      </c>
      <c r="F1923" s="5">
        <v>43285</v>
      </c>
      <c r="G1923" s="5">
        <v>54789</v>
      </c>
      <c r="H1923" s="4" t="str">
        <f>""</f>
        <v/>
      </c>
      <c r="I1923" s="4" t="str">
        <f>""</f>
        <v/>
      </c>
    </row>
    <row r="1924" spans="1:9" x14ac:dyDescent="0.3">
      <c r="A1924" s="1" t="str">
        <f>"54"</f>
        <v>54</v>
      </c>
      <c r="B1924" s="4" t="str">
        <f>"SOCIETE CFF ESKA"</f>
        <v>SOCIETE CFF ESKA</v>
      </c>
      <c r="C1924" s="4">
        <v>558502811</v>
      </c>
      <c r="D1924" s="3" t="s">
        <v>0</v>
      </c>
      <c r="E1924" s="2" t="str">
        <f>"0006200213"</f>
        <v>0006200213</v>
      </c>
      <c r="F1924" s="5">
        <v>43238</v>
      </c>
      <c r="G1924" s="5">
        <v>54789</v>
      </c>
      <c r="H1924" s="4" t="str">
        <f>""</f>
        <v/>
      </c>
      <c r="I1924" s="4" t="str">
        <f>""</f>
        <v/>
      </c>
    </row>
    <row r="1925" spans="1:9" x14ac:dyDescent="0.3">
      <c r="A1925" s="1" t="str">
        <f>"54"</f>
        <v>54</v>
      </c>
      <c r="B1925" s="4" t="str">
        <f>"SOCIETE CFF ESKA"</f>
        <v>SOCIETE CFF ESKA</v>
      </c>
      <c r="C1925" s="4">
        <v>558502811</v>
      </c>
      <c r="D1925" s="3" t="s">
        <v>0</v>
      </c>
      <c r="E1925" s="2" t="str">
        <f>"PR5400005D"</f>
        <v>PR5400005D</v>
      </c>
      <c r="F1925" s="5">
        <v>43238</v>
      </c>
      <c r="G1925" s="5">
        <v>54789</v>
      </c>
      <c r="H1925" s="4" t="str">
        <f>""</f>
        <v/>
      </c>
      <c r="I1925" s="4" t="str">
        <f>""</f>
        <v/>
      </c>
    </row>
    <row r="1926" spans="1:9" x14ac:dyDescent="0.3">
      <c r="A1926" s="1" t="str">
        <f>"54"</f>
        <v>54</v>
      </c>
      <c r="B1926" s="4" t="str">
        <f>"SOCIETE CFF ESKA"</f>
        <v>SOCIETE CFF ESKA</v>
      </c>
      <c r="C1926" s="4">
        <v>558502811</v>
      </c>
      <c r="D1926" s="3" t="s">
        <v>0</v>
      </c>
      <c r="E1926" s="2" t="str">
        <f>"PR5400007D"</f>
        <v>PR5400007D</v>
      </c>
      <c r="F1926" s="5">
        <v>38897</v>
      </c>
      <c r="G1926" s="5">
        <v>54789</v>
      </c>
      <c r="H1926" s="4" t="str">
        <f>""</f>
        <v/>
      </c>
      <c r="I1926" s="4" t="str">
        <f>""</f>
        <v/>
      </c>
    </row>
    <row r="1927" spans="1:9" x14ac:dyDescent="0.3">
      <c r="A1927" s="1" t="str">
        <f>"54"</f>
        <v>54</v>
      </c>
      <c r="B1927" s="4" t="str">
        <f>"SOCIETE ESKA"</f>
        <v>SOCIETE ESKA</v>
      </c>
      <c r="C1927" s="4">
        <v>558502811</v>
      </c>
      <c r="D1927" s="3" t="s">
        <v>0</v>
      </c>
      <c r="E1927" s="2" t="str">
        <f>"PR54000020D"</f>
        <v>PR54000020D</v>
      </c>
      <c r="F1927" s="5">
        <v>44522</v>
      </c>
      <c r="G1927" s="5">
        <v>54789</v>
      </c>
      <c r="H1927" s="4" t="str">
        <f>""</f>
        <v/>
      </c>
      <c r="I1927" s="4" t="str">
        <f>""</f>
        <v/>
      </c>
    </row>
    <row r="1928" spans="1:9" x14ac:dyDescent="0.3">
      <c r="A1928" s="1" t="str">
        <f>"54"</f>
        <v>54</v>
      </c>
      <c r="B1928" s="4" t="str">
        <f>"SOCIETE CFF ESKA"</f>
        <v>SOCIETE CFF ESKA</v>
      </c>
      <c r="C1928" s="4">
        <v>558502811</v>
      </c>
      <c r="D1928" s="3" t="s">
        <v>0</v>
      </c>
      <c r="E1928" s="2" t="str">
        <f>"0006200544"</f>
        <v>0006200544</v>
      </c>
      <c r="F1928" s="5">
        <v>38897</v>
      </c>
      <c r="G1928" s="5">
        <v>54789</v>
      </c>
      <c r="H1928" s="4" t="str">
        <f>""</f>
        <v/>
      </c>
      <c r="I1928" s="4" t="str">
        <f>""</f>
        <v/>
      </c>
    </row>
    <row r="1929" spans="1:9" x14ac:dyDescent="0.3">
      <c r="A1929" s="1" t="str">
        <f>"54"</f>
        <v>54</v>
      </c>
      <c r="B1929" s="4" t="str">
        <f>"SOCIETE ESKA"</f>
        <v>SOCIETE ESKA</v>
      </c>
      <c r="C1929" s="4">
        <v>558502811</v>
      </c>
      <c r="D1929" s="3" t="s">
        <v>0</v>
      </c>
      <c r="E1929" s="2" t="str">
        <f>"0006207713"</f>
        <v>0006207713</v>
      </c>
      <c r="F1929" s="5">
        <v>44522</v>
      </c>
      <c r="G1929" s="5">
        <v>54789</v>
      </c>
      <c r="H1929" s="4" t="str">
        <f>""</f>
        <v/>
      </c>
      <c r="I1929" s="4" t="str">
        <f>""</f>
        <v/>
      </c>
    </row>
    <row r="1930" spans="1:9" x14ac:dyDescent="0.3">
      <c r="A1930" s="1" t="str">
        <f>"54"</f>
        <v>54</v>
      </c>
      <c r="B1930" s="4" t="str">
        <f>"CARROSSERIE RAVENDA"</f>
        <v>CARROSSERIE RAVENDA</v>
      </c>
      <c r="C1930" s="4">
        <v>646920157</v>
      </c>
      <c r="D1930" s="3" t="s">
        <v>0</v>
      </c>
      <c r="E1930" s="2" t="str">
        <f>"0003012763"</f>
        <v>0003012763</v>
      </c>
      <c r="F1930" s="5">
        <v>42859</v>
      </c>
      <c r="G1930" s="5">
        <v>54789</v>
      </c>
      <c r="H1930" s="4" t="str">
        <f>""</f>
        <v/>
      </c>
      <c r="I1930" s="4" t="str">
        <f>""</f>
        <v/>
      </c>
    </row>
    <row r="1931" spans="1:9" x14ac:dyDescent="0.3">
      <c r="A1931" s="1" t="str">
        <f>"54"</f>
        <v>54</v>
      </c>
      <c r="B1931" s="4" t="str">
        <f>"CARROSSERIE RAVENDA"</f>
        <v>CARROSSERIE RAVENDA</v>
      </c>
      <c r="C1931" s="4">
        <v>646920157</v>
      </c>
      <c r="D1931" s="3" t="s">
        <v>0</v>
      </c>
      <c r="E1931" s="2" t="str">
        <f>"PR5400019D"</f>
        <v>PR5400019D</v>
      </c>
      <c r="F1931" s="5">
        <v>42859</v>
      </c>
      <c r="G1931" s="5">
        <v>54789</v>
      </c>
      <c r="H1931" s="4" t="str">
        <f>""</f>
        <v/>
      </c>
      <c r="I1931" s="4" t="str">
        <f>""</f>
        <v/>
      </c>
    </row>
    <row r="1932" spans="1:9" x14ac:dyDescent="0.3">
      <c r="A1932" s="1" t="str">
        <f>"54"</f>
        <v>54</v>
      </c>
      <c r="B1932" s="4" t="str">
        <f>"GUY DAUPHIN ENVIRONNEMENT"</f>
        <v>GUY DAUPHIN ENVIRONNEMENT</v>
      </c>
      <c r="C1932" s="4">
        <v>653820530</v>
      </c>
      <c r="D1932" s="3" t="s">
        <v>0</v>
      </c>
      <c r="E1932" s="2" t="str">
        <f>"0006207688"</f>
        <v>0006207688</v>
      </c>
      <c r="F1932" s="5">
        <v>43802</v>
      </c>
      <c r="G1932" s="5">
        <v>54789</v>
      </c>
      <c r="H1932" s="4" t="str">
        <f>""</f>
        <v/>
      </c>
      <c r="I1932" s="4" t="str">
        <f>""</f>
        <v/>
      </c>
    </row>
    <row r="1933" spans="1:9" x14ac:dyDescent="0.3">
      <c r="A1933" s="1" t="str">
        <f>"54"</f>
        <v>54</v>
      </c>
      <c r="B1933" s="4" t="str">
        <f>"GUY DAUPHIN ENVIRONNEMENT"</f>
        <v>GUY DAUPHIN ENVIRONNEMENT</v>
      </c>
      <c r="C1933" s="4">
        <v>653820530</v>
      </c>
      <c r="D1933" s="3" t="s">
        <v>0</v>
      </c>
      <c r="E1933" s="2" t="str">
        <f>"PR5400016D"</f>
        <v>PR5400016D</v>
      </c>
      <c r="F1933" s="5">
        <v>43802</v>
      </c>
      <c r="G1933" s="5">
        <v>54789</v>
      </c>
      <c r="H1933" s="4" t="str">
        <f>""</f>
        <v/>
      </c>
      <c r="I1933" s="4" t="str">
        <f>""</f>
        <v/>
      </c>
    </row>
    <row r="1934" spans="1:9" x14ac:dyDescent="0.3">
      <c r="A1934" s="1" t="str">
        <f>"54"</f>
        <v>54</v>
      </c>
      <c r="B1934" s="4" t="str">
        <f>"SOCIETE DELA"</f>
        <v>SOCIETE DELA</v>
      </c>
      <c r="C1934" s="4">
        <v>792748667</v>
      </c>
      <c r="D1934" s="3" t="s">
        <v>0</v>
      </c>
      <c r="E1934" s="2" t="str">
        <f>"PR5400017D"</f>
        <v>PR5400017D</v>
      </c>
      <c r="F1934" s="5">
        <v>41610</v>
      </c>
      <c r="G1934" s="5">
        <v>54789</v>
      </c>
      <c r="H1934" s="4" t="str">
        <f>""</f>
        <v/>
      </c>
      <c r="I1934" s="4" t="str">
        <f>""</f>
        <v/>
      </c>
    </row>
    <row r="1935" spans="1:9" x14ac:dyDescent="0.3">
      <c r="A1935" s="1" t="str">
        <f>"54"</f>
        <v>54</v>
      </c>
      <c r="B1935" s="4" t="str">
        <f>"SOCIETE DELA"</f>
        <v>SOCIETE DELA</v>
      </c>
      <c r="C1935" s="4">
        <v>792748667</v>
      </c>
      <c r="D1935" s="3" t="s">
        <v>0</v>
      </c>
      <c r="E1935" s="2" t="str">
        <f>"0006200603"</f>
        <v>0006200603</v>
      </c>
      <c r="F1935" s="5">
        <v>41610</v>
      </c>
      <c r="G1935" s="5">
        <v>54789</v>
      </c>
      <c r="H1935" s="4" t="str">
        <f>""</f>
        <v/>
      </c>
      <c r="I1935" s="4" t="str">
        <f>""</f>
        <v/>
      </c>
    </row>
    <row r="1936" spans="1:9" x14ac:dyDescent="0.3">
      <c r="A1936" s="1" t="str">
        <f>"54"</f>
        <v>54</v>
      </c>
      <c r="B1936" s="4" t="str">
        <f>"SOCIETE ECOREFER"</f>
        <v>SOCIETE ECOREFER</v>
      </c>
      <c r="C1936" s="4">
        <v>803795178</v>
      </c>
      <c r="D1936" s="3" t="s">
        <v>0</v>
      </c>
      <c r="E1936" s="2" t="str">
        <f>"0006210142"</f>
        <v>0006210142</v>
      </c>
      <c r="F1936" s="5">
        <v>42334</v>
      </c>
      <c r="G1936" s="5">
        <v>54789</v>
      </c>
      <c r="H1936" s="4" t="str">
        <f>""</f>
        <v/>
      </c>
      <c r="I1936" s="4" t="str">
        <f>""</f>
        <v/>
      </c>
    </row>
    <row r="1937" spans="1:9" x14ac:dyDescent="0.3">
      <c r="A1937" s="1" t="str">
        <f>"54"</f>
        <v>54</v>
      </c>
      <c r="B1937" s="4" t="str">
        <f>"SOCIETE ECOREFER"</f>
        <v>SOCIETE ECOREFER</v>
      </c>
      <c r="C1937" s="4">
        <v>803795178</v>
      </c>
      <c r="D1937" s="3" t="s">
        <v>0</v>
      </c>
      <c r="E1937" s="2" t="str">
        <f>"PR5400018D"</f>
        <v>PR5400018D</v>
      </c>
      <c r="F1937" s="5">
        <v>42334</v>
      </c>
      <c r="G1937" s="5">
        <v>54789</v>
      </c>
      <c r="H1937" s="4" t="str">
        <f>""</f>
        <v/>
      </c>
      <c r="I1937" s="4" t="str">
        <f>""</f>
        <v/>
      </c>
    </row>
    <row r="1938" spans="1:9" x14ac:dyDescent="0.3">
      <c r="A1938" s="1" t="str">
        <f>"54"</f>
        <v>54</v>
      </c>
      <c r="B1938" s="4" t="str">
        <f>"SOCIETE AUTO PIECES OCCASION CHRISTOPHE"</f>
        <v>SOCIETE AUTO PIECES OCCASION CHRISTOPHE</v>
      </c>
      <c r="C1938" s="4">
        <v>908877491</v>
      </c>
      <c r="D1938" s="3" t="s">
        <v>0</v>
      </c>
      <c r="E1938" s="2" t="str">
        <f>"0006205822"</f>
        <v>0006205822</v>
      </c>
      <c r="F1938" s="5">
        <v>43613</v>
      </c>
      <c r="G1938" s="5">
        <v>54789</v>
      </c>
      <c r="H1938" s="4" t="str">
        <f>""</f>
        <v/>
      </c>
      <c r="I1938" s="4" t="str">
        <f>""</f>
        <v/>
      </c>
    </row>
    <row r="1939" spans="1:9" x14ac:dyDescent="0.3">
      <c r="A1939" s="1" t="str">
        <f>"54"</f>
        <v>54</v>
      </c>
      <c r="B1939" s="4" t="str">
        <f>"SOCIETE AUTO PIECES OCCASION CHRISTOPHE"</f>
        <v>SOCIETE AUTO PIECES OCCASION CHRISTOPHE</v>
      </c>
      <c r="C1939" s="4">
        <v>908877491</v>
      </c>
      <c r="D1939" s="3" t="s">
        <v>0</v>
      </c>
      <c r="E1939" s="2" t="str">
        <f>"PR5400012D"</f>
        <v>PR5400012D</v>
      </c>
      <c r="F1939" s="5">
        <v>43613</v>
      </c>
      <c r="G1939" s="5">
        <v>54789</v>
      </c>
      <c r="H1939" s="4" t="str">
        <f>""</f>
        <v/>
      </c>
      <c r="I1939" s="4" t="str">
        <f>""</f>
        <v/>
      </c>
    </row>
    <row r="1940" spans="1:9" x14ac:dyDescent="0.3">
      <c r="A1940" s="1" t="str">
        <f>"55"</f>
        <v>55</v>
      </c>
      <c r="B1940" s="4" t="str">
        <f>"TONNER ALAIN"</f>
        <v>TONNER ALAIN</v>
      </c>
      <c r="C1940" s="4">
        <v>331601104</v>
      </c>
      <c r="D1940" s="3" t="s">
        <v>0</v>
      </c>
      <c r="E1940" s="2" t="str">
        <f>"PR5500004D"</f>
        <v>PR5500004D</v>
      </c>
      <c r="F1940" s="5">
        <v>43502</v>
      </c>
      <c r="G1940" s="5">
        <v>54789</v>
      </c>
      <c r="H1940" s="4" t="str">
        <f>""</f>
        <v/>
      </c>
      <c r="I1940" s="4" t="str">
        <f>""</f>
        <v/>
      </c>
    </row>
    <row r="1941" spans="1:9" x14ac:dyDescent="0.3">
      <c r="A1941" s="1" t="str">
        <f>"55"</f>
        <v>55</v>
      </c>
      <c r="B1941" s="4" t="str">
        <f>"TONNER ALAIN"</f>
        <v>TONNER ALAIN</v>
      </c>
      <c r="C1941" s="4">
        <v>331601104</v>
      </c>
      <c r="D1941" s="3" t="s">
        <v>0</v>
      </c>
      <c r="E1941" s="2" t="str">
        <f>"0006207704"</f>
        <v>0006207704</v>
      </c>
      <c r="F1941" s="5">
        <v>36546</v>
      </c>
      <c r="G1941" s="5">
        <v>54789</v>
      </c>
      <c r="H1941" s="4" t="str">
        <f>""</f>
        <v/>
      </c>
      <c r="I1941" s="4" t="str">
        <f>""</f>
        <v/>
      </c>
    </row>
    <row r="1942" spans="1:9" x14ac:dyDescent="0.3">
      <c r="A1942" s="1" t="str">
        <f>"55"</f>
        <v>55</v>
      </c>
      <c r="B1942" s="4" t="str">
        <f>"MAYEUR FRERES SARL"</f>
        <v>MAYEUR FRERES SARL</v>
      </c>
      <c r="C1942" s="4">
        <v>334708062</v>
      </c>
      <c r="D1942" s="3" t="s">
        <v>0</v>
      </c>
      <c r="E1942" s="2" t="str">
        <f>"0006207652"</f>
        <v>0006207652</v>
      </c>
      <c r="F1942" s="5">
        <v>43227</v>
      </c>
      <c r="G1942" s="5">
        <v>54789</v>
      </c>
      <c r="H1942" s="4" t="str">
        <f>""</f>
        <v/>
      </c>
      <c r="I1942" s="4" t="str">
        <f>""</f>
        <v/>
      </c>
    </row>
    <row r="1943" spans="1:9" x14ac:dyDescent="0.3">
      <c r="A1943" s="1" t="str">
        <f>"55"</f>
        <v>55</v>
      </c>
      <c r="B1943" s="4" t="str">
        <f>"SOCIETE MAYEUR FRERES"</f>
        <v>SOCIETE MAYEUR FRERES</v>
      </c>
      <c r="C1943" s="4">
        <v>334708062</v>
      </c>
      <c r="D1943" s="3" t="s">
        <v>0</v>
      </c>
      <c r="E1943" s="2" t="str">
        <f>"PR5500003D"</f>
        <v>PR5500003D</v>
      </c>
      <c r="F1943" s="5">
        <v>41110</v>
      </c>
      <c r="G1943" s="5">
        <v>54789</v>
      </c>
      <c r="H1943" s="4" t="str">
        <f>""</f>
        <v/>
      </c>
      <c r="I1943" s="4" t="str">
        <f>""</f>
        <v/>
      </c>
    </row>
    <row r="1944" spans="1:9" x14ac:dyDescent="0.3">
      <c r="A1944" s="1" t="str">
        <f>"55"</f>
        <v>55</v>
      </c>
      <c r="B1944" s="4" t="str">
        <f>"SARL FRANCAIS FRERES"</f>
        <v>SARL FRANCAIS FRERES</v>
      </c>
      <c r="C1944" s="4">
        <v>341059061</v>
      </c>
      <c r="D1944" s="3" t="s">
        <v>0</v>
      </c>
      <c r="E1944" s="2" t="str">
        <f>"PR5500002D"</f>
        <v>PR5500002D</v>
      </c>
      <c r="F1944" s="5">
        <v>41190</v>
      </c>
      <c r="G1944" s="5">
        <v>54789</v>
      </c>
      <c r="H1944" s="4" t="str">
        <f>""</f>
        <v/>
      </c>
      <c r="I1944" s="4" t="str">
        <f>""</f>
        <v/>
      </c>
    </row>
    <row r="1945" spans="1:9" x14ac:dyDescent="0.3">
      <c r="A1945" s="1" t="str">
        <f>"55"</f>
        <v>55</v>
      </c>
      <c r="B1945" s="4" t="str">
        <f>"SARL FRANCAIS FRERES"</f>
        <v>SARL FRANCAIS FRERES</v>
      </c>
      <c r="C1945" s="4">
        <v>341059061</v>
      </c>
      <c r="D1945" s="3" t="s">
        <v>0</v>
      </c>
      <c r="E1945" s="2" t="str">
        <f>"0006207681"</f>
        <v>0006207681</v>
      </c>
      <c r="F1945" s="5">
        <v>43381</v>
      </c>
      <c r="G1945" s="5">
        <v>54789</v>
      </c>
      <c r="H1945" s="4" t="str">
        <f>""</f>
        <v/>
      </c>
      <c r="I1945" s="4" t="str">
        <f>""</f>
        <v/>
      </c>
    </row>
    <row r="1946" spans="1:9" x14ac:dyDescent="0.3">
      <c r="A1946" s="1" t="str">
        <f>"55"</f>
        <v>55</v>
      </c>
      <c r="B1946" s="4" t="str">
        <f>"SOCIETE FERS ET METAUX DE LA MEUSE"</f>
        <v>SOCIETE FERS ET METAUX DE LA MEUSE</v>
      </c>
      <c r="C1946" s="4">
        <v>350247680</v>
      </c>
      <c r="D1946" s="3" t="s">
        <v>0</v>
      </c>
      <c r="E1946" s="2" t="str">
        <f>"0006207721"</f>
        <v>0006207721</v>
      </c>
      <c r="F1946" s="5">
        <v>41827</v>
      </c>
      <c r="G1946" s="5">
        <v>54789</v>
      </c>
      <c r="H1946" s="4" t="str">
        <f>""</f>
        <v/>
      </c>
      <c r="I1946" s="4" t="str">
        <f>""</f>
        <v/>
      </c>
    </row>
    <row r="1947" spans="1:9" x14ac:dyDescent="0.3">
      <c r="A1947" s="1" t="str">
        <f>"55"</f>
        <v>55</v>
      </c>
      <c r="B1947" s="4" t="str">
        <f>"SOCIETE FERS ET METAUX DE LA MEUSE"</f>
        <v>SOCIETE FERS ET METAUX DE LA MEUSE</v>
      </c>
      <c r="C1947" s="4">
        <v>350247680</v>
      </c>
      <c r="D1947" s="3" t="s">
        <v>0</v>
      </c>
      <c r="E1947" s="2" t="str">
        <f>"PR5500005D"</f>
        <v>PR5500005D</v>
      </c>
      <c r="F1947" s="5">
        <v>41827</v>
      </c>
      <c r="G1947" s="5">
        <v>54789</v>
      </c>
      <c r="H1947" s="4" t="str">
        <f>""</f>
        <v/>
      </c>
      <c r="I1947" s="4" t="str">
        <f>""</f>
        <v/>
      </c>
    </row>
    <row r="1948" spans="1:9" x14ac:dyDescent="0.3">
      <c r="A1948" s="1" t="str">
        <f>"55"</f>
        <v>55</v>
      </c>
      <c r="B1948" s="4" t="str">
        <f>"DEL FRANCIS"</f>
        <v>DEL FRANCIS</v>
      </c>
      <c r="C1948" s="4">
        <v>501829493</v>
      </c>
      <c r="D1948" s="3" t="s">
        <v>0</v>
      </c>
      <c r="E1948" s="2" t="str">
        <f>"0006200767"</f>
        <v>0006200767</v>
      </c>
      <c r="F1948" s="5">
        <v>41837</v>
      </c>
      <c r="G1948" s="5">
        <v>54789</v>
      </c>
      <c r="H1948" s="4" t="str">
        <f>""</f>
        <v/>
      </c>
      <c r="I1948" s="4" t="str">
        <f>""</f>
        <v/>
      </c>
    </row>
    <row r="1949" spans="1:9" x14ac:dyDescent="0.3">
      <c r="A1949" s="1" t="str">
        <f>"55"</f>
        <v>55</v>
      </c>
      <c r="B1949" s="4" t="str">
        <f>"SARL DEL FRANCIS"</f>
        <v>SARL DEL FRANCIS</v>
      </c>
      <c r="C1949" s="4">
        <v>501829493</v>
      </c>
      <c r="D1949" s="3" t="s">
        <v>0</v>
      </c>
      <c r="E1949" s="2" t="str">
        <f>"PR5500007D"</f>
        <v>PR5500007D</v>
      </c>
      <c r="F1949" s="5">
        <v>39664</v>
      </c>
      <c r="G1949" s="5">
        <v>54789</v>
      </c>
      <c r="H1949" s="4" t="str">
        <f>""</f>
        <v/>
      </c>
      <c r="I1949" s="4" t="str">
        <f>""</f>
        <v/>
      </c>
    </row>
    <row r="1950" spans="1:9" x14ac:dyDescent="0.3">
      <c r="A1950" s="1" t="str">
        <f>"55"</f>
        <v>55</v>
      </c>
      <c r="B1950" s="4" t="str">
        <f>"DECONS OCCITANIE SAS"</f>
        <v>DECONS OCCITANIE SAS</v>
      </c>
      <c r="C1950" s="4">
        <v>832222541</v>
      </c>
      <c r="D1950" s="3" t="s">
        <v>0</v>
      </c>
      <c r="E1950" s="2" t="str">
        <f>"PR3100035D"</f>
        <v>PR3100035D</v>
      </c>
      <c r="F1950" s="5">
        <v>43404</v>
      </c>
      <c r="G1950" s="5">
        <v>54789</v>
      </c>
      <c r="H1950" s="4" t="str">
        <f>""</f>
        <v/>
      </c>
      <c r="I1950" s="4" t="str">
        <f>""</f>
        <v/>
      </c>
    </row>
    <row r="1951" spans="1:9" x14ac:dyDescent="0.3">
      <c r="A1951" s="1" t="str">
        <f>"55"</f>
        <v>55</v>
      </c>
      <c r="B1951" s="4" t="str">
        <f>"CASSE AUTO SALARIS"</f>
        <v>CASSE AUTO SALARIS</v>
      </c>
      <c r="C1951" s="4">
        <v>851676114</v>
      </c>
      <c r="D1951" s="3" t="s">
        <v>0</v>
      </c>
      <c r="E1951" s="2" t="str">
        <f>"0003014292"</f>
        <v>0003014292</v>
      </c>
      <c r="F1951" s="5">
        <v>44141</v>
      </c>
      <c r="G1951" s="5">
        <v>54789</v>
      </c>
      <c r="H1951" s="4" t="str">
        <f>""</f>
        <v/>
      </c>
      <c r="I1951" s="4" t="str">
        <f>""</f>
        <v/>
      </c>
    </row>
    <row r="1952" spans="1:9" x14ac:dyDescent="0.3">
      <c r="A1952" s="1" t="str">
        <f>"55"</f>
        <v>55</v>
      </c>
      <c r="B1952" s="4" t="str">
        <f>"SOCIETE SAS CASSE AUTO SALARIS"</f>
        <v>SOCIETE SAS CASSE AUTO SALARIS</v>
      </c>
      <c r="C1952" s="4">
        <v>851676114</v>
      </c>
      <c r="D1952" s="3" t="s">
        <v>0</v>
      </c>
      <c r="E1952" s="2" t="str">
        <f>"PR5500008D"</f>
        <v>PR5500008D</v>
      </c>
      <c r="F1952" s="5">
        <v>44194</v>
      </c>
      <c r="G1952" s="5">
        <v>54789</v>
      </c>
      <c r="H1952" s="4" t="str">
        <f>""</f>
        <v/>
      </c>
      <c r="I1952" s="4" t="str">
        <f>""</f>
        <v/>
      </c>
    </row>
    <row r="1953" spans="1:9" x14ac:dyDescent="0.3">
      <c r="A1953" s="1" t="str">
        <f>"56"</f>
        <v>56</v>
      </c>
      <c r="B1953" s="4" t="str">
        <f>"ÉTABLISSEMENTS FERRAND"</f>
        <v>ÉTABLISSEMENTS FERRAND</v>
      </c>
      <c r="C1953" s="4">
        <v>317641462</v>
      </c>
      <c r="D1953" s="3" t="s">
        <v>0</v>
      </c>
      <c r="E1953" s="2" t="str">
        <f>"PR5600033D"</f>
        <v>PR5600033D</v>
      </c>
      <c r="F1953" s="5">
        <v>43266</v>
      </c>
      <c r="G1953" s="5">
        <v>54789</v>
      </c>
      <c r="H1953" s="4" t="str">
        <f>""</f>
        <v/>
      </c>
      <c r="I1953" s="4" t="str">
        <f>""</f>
        <v/>
      </c>
    </row>
    <row r="1954" spans="1:9" x14ac:dyDescent="0.3">
      <c r="A1954" s="1" t="str">
        <f>"56"</f>
        <v>56</v>
      </c>
      <c r="B1954" s="4" t="str">
        <f>"ÉTABLISSEMENTS FERRAND"</f>
        <v>ÉTABLISSEMENTS FERRAND</v>
      </c>
      <c r="C1954" s="4">
        <v>317641462</v>
      </c>
      <c r="D1954" s="3" t="s">
        <v>0</v>
      </c>
      <c r="E1954" s="2" t="str">
        <f>"0005515618"</f>
        <v>0005515618</v>
      </c>
      <c r="F1954" s="5">
        <v>43266</v>
      </c>
      <c r="G1954" s="5">
        <v>54789</v>
      </c>
      <c r="H1954" s="4" t="str">
        <f>""</f>
        <v/>
      </c>
      <c r="I1954" s="4" t="str">
        <f>""</f>
        <v/>
      </c>
    </row>
    <row r="1955" spans="1:9" x14ac:dyDescent="0.3">
      <c r="A1955" s="1" t="str">
        <f>"56"</f>
        <v>56</v>
      </c>
      <c r="B1955" s="4" t="str">
        <f>"AUTO RECUPERATION"</f>
        <v>AUTO RECUPERATION</v>
      </c>
      <c r="C1955" s="4">
        <v>330525858</v>
      </c>
      <c r="D1955" s="3" t="s">
        <v>0</v>
      </c>
      <c r="E1955" s="2" t="str">
        <f>"PR5600009D"</f>
        <v>PR5600009D</v>
      </c>
      <c r="F1955" s="5">
        <v>43906</v>
      </c>
      <c r="G1955" s="5">
        <v>54789</v>
      </c>
      <c r="H1955" s="4" t="str">
        <f>""</f>
        <v/>
      </c>
      <c r="I1955" s="4" t="str">
        <f>""</f>
        <v/>
      </c>
    </row>
    <row r="1956" spans="1:9" x14ac:dyDescent="0.3">
      <c r="A1956" s="1" t="str">
        <f>"56"</f>
        <v>56</v>
      </c>
      <c r="B1956" s="4" t="str">
        <f>"AUTO RECUPERATION"</f>
        <v>AUTO RECUPERATION</v>
      </c>
      <c r="C1956" s="4">
        <v>330525858</v>
      </c>
      <c r="D1956" s="3" t="s">
        <v>0</v>
      </c>
      <c r="E1956" s="2" t="str">
        <f>"0005501665"</f>
        <v>0005501665</v>
      </c>
      <c r="F1956" s="5">
        <v>43906</v>
      </c>
      <c r="G1956" s="5">
        <v>54789</v>
      </c>
      <c r="H1956" s="4" t="str">
        <f>""</f>
        <v/>
      </c>
      <c r="I1956" s="4" t="str">
        <f>""</f>
        <v/>
      </c>
    </row>
    <row r="1957" spans="1:9" x14ac:dyDescent="0.3">
      <c r="A1957" s="1" t="str">
        <f>"56"</f>
        <v>56</v>
      </c>
      <c r="B1957" s="4" t="str">
        <f>"TILT AUTO 56"</f>
        <v>TILT AUTO 56</v>
      </c>
      <c r="C1957" s="4">
        <v>350352332</v>
      </c>
      <c r="D1957" s="3" t="s">
        <v>0</v>
      </c>
      <c r="E1957" s="2" t="str">
        <f>"PR5600003D"</f>
        <v>PR5600003D</v>
      </c>
      <c r="F1957" s="5">
        <v>43852</v>
      </c>
      <c r="G1957" s="5">
        <v>54789</v>
      </c>
      <c r="H1957" s="4" t="str">
        <f>""</f>
        <v/>
      </c>
      <c r="I1957" s="4" t="str">
        <f>""</f>
        <v/>
      </c>
    </row>
    <row r="1958" spans="1:9" x14ac:dyDescent="0.3">
      <c r="A1958" s="1" t="str">
        <f>"56"</f>
        <v>56</v>
      </c>
      <c r="B1958" s="4" t="str">
        <f>"TILT AUTO 56"</f>
        <v>TILT AUTO 56</v>
      </c>
      <c r="C1958" s="4">
        <v>350352332</v>
      </c>
      <c r="D1958" s="3" t="s">
        <v>0</v>
      </c>
      <c r="E1958" s="2" t="str">
        <f>"0055600580"</f>
        <v>0055600580</v>
      </c>
      <c r="F1958" s="5">
        <v>43852</v>
      </c>
      <c r="G1958" s="5">
        <v>54789</v>
      </c>
      <c r="H1958" s="4" t="str">
        <f>""</f>
        <v/>
      </c>
      <c r="I1958" s="4" t="str">
        <f>""</f>
        <v/>
      </c>
    </row>
    <row r="1959" spans="1:9" x14ac:dyDescent="0.3">
      <c r="A1959" s="1" t="str">
        <f>"56"</f>
        <v>56</v>
      </c>
      <c r="B1959" s="4" t="str">
        <f>"RECUP'AUTO"</f>
        <v>RECUP'AUTO</v>
      </c>
      <c r="C1959" s="4">
        <v>379645344</v>
      </c>
      <c r="D1959" s="3" t="s">
        <v>0</v>
      </c>
      <c r="E1959" s="2" t="str">
        <f>"PR5600002D"</f>
        <v>PR5600002D</v>
      </c>
      <c r="F1959" s="5">
        <v>42900</v>
      </c>
      <c r="G1959" s="5">
        <v>54789</v>
      </c>
      <c r="H1959" s="4" t="str">
        <f>""</f>
        <v/>
      </c>
      <c r="I1959" s="4" t="str">
        <f>""</f>
        <v/>
      </c>
    </row>
    <row r="1960" spans="1:9" x14ac:dyDescent="0.3">
      <c r="A1960" s="1" t="str">
        <f>"56"</f>
        <v>56</v>
      </c>
      <c r="B1960" s="4" t="str">
        <f>"RECUP'AUTO"</f>
        <v>RECUP'AUTO</v>
      </c>
      <c r="C1960" s="4">
        <v>379645344</v>
      </c>
      <c r="D1960" s="3" t="s">
        <v>0</v>
      </c>
      <c r="E1960" s="2" t="str">
        <f>"0005501646"</f>
        <v>0005501646</v>
      </c>
      <c r="F1960" s="5">
        <v>42900</v>
      </c>
      <c r="G1960" s="5">
        <v>54789</v>
      </c>
      <c r="H1960" s="4" t="str">
        <f>""</f>
        <v/>
      </c>
      <c r="I1960" s="4" t="str">
        <f>""</f>
        <v/>
      </c>
    </row>
    <row r="1961" spans="1:9" x14ac:dyDescent="0.3">
      <c r="A1961" s="1" t="str">
        <f>"56"</f>
        <v>56</v>
      </c>
      <c r="B1961" s="4" t="str">
        <f>"OUEST CASS"</f>
        <v>OUEST CASS</v>
      </c>
      <c r="C1961" s="4">
        <v>379684160</v>
      </c>
      <c r="D1961" s="3" t="s">
        <v>0</v>
      </c>
      <c r="E1961" s="2" t="str">
        <f>"PR5600014D"</f>
        <v>PR5600014D</v>
      </c>
      <c r="F1961" s="5">
        <v>43424</v>
      </c>
      <c r="G1961" s="5">
        <v>54789</v>
      </c>
      <c r="H1961" s="4" t="str">
        <f>""</f>
        <v/>
      </c>
      <c r="I1961" s="4" t="str">
        <f>""</f>
        <v/>
      </c>
    </row>
    <row r="1962" spans="1:9" x14ac:dyDescent="0.3">
      <c r="A1962" s="1" t="str">
        <f>"56"</f>
        <v>56</v>
      </c>
      <c r="B1962" s="4" t="str">
        <f>"OUEST CASS"</f>
        <v>OUEST CASS</v>
      </c>
      <c r="C1962" s="4">
        <v>379684160</v>
      </c>
      <c r="D1962" s="3" t="s">
        <v>0</v>
      </c>
      <c r="E1962" s="2" t="str">
        <f>"0005504064"</f>
        <v>0005504064</v>
      </c>
      <c r="F1962" s="5">
        <v>43424</v>
      </c>
      <c r="G1962" s="5">
        <v>54789</v>
      </c>
      <c r="H1962" s="4" t="str">
        <f>""</f>
        <v/>
      </c>
      <c r="I1962" s="4" t="str">
        <f>""</f>
        <v/>
      </c>
    </row>
    <row r="1963" spans="1:9" x14ac:dyDescent="0.3">
      <c r="A1963" s="1" t="str">
        <f>"56"</f>
        <v>56</v>
      </c>
      <c r="B1963" s="4" t="str">
        <f>"AFM RECYCLAGE"</f>
        <v>AFM RECYCLAGE</v>
      </c>
      <c r="C1963" s="4">
        <v>383482635</v>
      </c>
      <c r="D1963" s="3" t="s">
        <v>0</v>
      </c>
      <c r="E1963" s="2" t="str">
        <f>"PR5600011D"</f>
        <v>PR5600011D</v>
      </c>
      <c r="F1963" s="5">
        <v>43172</v>
      </c>
      <c r="G1963" s="5">
        <v>54789</v>
      </c>
      <c r="H1963" s="4" t="str">
        <f>""</f>
        <v/>
      </c>
      <c r="I1963" s="4" t="str">
        <f>""</f>
        <v/>
      </c>
    </row>
    <row r="1964" spans="1:9" x14ac:dyDescent="0.3">
      <c r="A1964" s="1" t="str">
        <f>"56"</f>
        <v>56</v>
      </c>
      <c r="B1964" s="4" t="str">
        <f>"AFM RECYCLAGE"</f>
        <v>AFM RECYCLAGE</v>
      </c>
      <c r="C1964" s="4">
        <v>383482635</v>
      </c>
      <c r="D1964" s="3" t="s">
        <v>0</v>
      </c>
      <c r="E1964" s="2" t="str">
        <f>"0005501617"</f>
        <v>0005501617</v>
      </c>
      <c r="F1964" s="5">
        <v>43172</v>
      </c>
      <c r="G1964" s="5">
        <v>54789</v>
      </c>
      <c r="H1964" s="4" t="str">
        <f>""</f>
        <v/>
      </c>
      <c r="I1964" s="4" t="str">
        <f>""</f>
        <v/>
      </c>
    </row>
    <row r="1965" spans="1:9" x14ac:dyDescent="0.3">
      <c r="A1965" s="1" t="str">
        <f>"56"</f>
        <v>56</v>
      </c>
      <c r="B1965" s="4" t="str">
        <f>"AFM RECYCLAGE"</f>
        <v>AFM RECYCLAGE</v>
      </c>
      <c r="C1965" s="4">
        <v>383482635</v>
      </c>
      <c r="D1965" s="3" t="s">
        <v>0</v>
      </c>
      <c r="E1965" s="2" t="str">
        <f>"PR5600034D"</f>
        <v>PR5600034D</v>
      </c>
      <c r="F1965" s="5">
        <v>43472</v>
      </c>
      <c r="G1965" s="5">
        <v>54789</v>
      </c>
      <c r="H1965" s="4" t="str">
        <f>""</f>
        <v/>
      </c>
      <c r="I1965" s="4" t="str">
        <f>""</f>
        <v/>
      </c>
    </row>
    <row r="1966" spans="1:9" x14ac:dyDescent="0.3">
      <c r="A1966" s="1" t="str">
        <f>"56"</f>
        <v>56</v>
      </c>
      <c r="B1966" s="4" t="str">
        <f>"AFM RECYCLAGE"</f>
        <v>AFM RECYCLAGE</v>
      </c>
      <c r="C1966" s="4">
        <v>383482635</v>
      </c>
      <c r="D1966" s="3" t="s">
        <v>0</v>
      </c>
      <c r="E1966" s="2" t="str">
        <f>"0005515111"</f>
        <v>0005515111</v>
      </c>
      <c r="F1966" s="5">
        <v>43472</v>
      </c>
      <c r="G1966" s="5">
        <v>54789</v>
      </c>
      <c r="H1966" s="4" t="str">
        <f>""</f>
        <v/>
      </c>
      <c r="I1966" s="4" t="str">
        <f>""</f>
        <v/>
      </c>
    </row>
    <row r="1967" spans="1:9" x14ac:dyDescent="0.3">
      <c r="A1967" s="1" t="str">
        <f>"56"</f>
        <v>56</v>
      </c>
      <c r="B1967" s="4" t="str">
        <f>"AFM RECYCLAGE"</f>
        <v>AFM RECYCLAGE</v>
      </c>
      <c r="C1967" s="4">
        <v>383482635</v>
      </c>
      <c r="D1967" s="3" t="s">
        <v>0</v>
      </c>
      <c r="E1967" s="2" t="str">
        <f>"PR5600037D"</f>
        <v>PR5600037D</v>
      </c>
      <c r="F1967" s="5">
        <v>44844</v>
      </c>
      <c r="G1967" s="5">
        <v>54789</v>
      </c>
      <c r="H1967" s="4" t="str">
        <f>""</f>
        <v/>
      </c>
      <c r="I1967" s="4" t="str">
        <f>""</f>
        <v/>
      </c>
    </row>
    <row r="1968" spans="1:9" x14ac:dyDescent="0.3">
      <c r="A1968" s="1" t="str">
        <f>"56"</f>
        <v>56</v>
      </c>
      <c r="B1968" s="4" t="str">
        <f>"AFM RECYCLAGE"</f>
        <v>AFM RECYCLAGE</v>
      </c>
      <c r="C1968" s="4">
        <v>383482635</v>
      </c>
      <c r="D1968" s="3" t="s">
        <v>0</v>
      </c>
      <c r="E1968" s="2" t="str">
        <f>"0005504375"</f>
        <v>0005504375</v>
      </c>
      <c r="F1968" s="5">
        <v>44844</v>
      </c>
      <c r="G1968" s="5">
        <v>54789</v>
      </c>
      <c r="H1968" s="4" t="str">
        <f>""</f>
        <v/>
      </c>
      <c r="I1968" s="4" t="str">
        <f>""</f>
        <v/>
      </c>
    </row>
    <row r="1969" spans="1:9" x14ac:dyDescent="0.3">
      <c r="A1969" s="1" t="str">
        <f>"56"</f>
        <v>56</v>
      </c>
      <c r="B1969" s="4" t="str">
        <f>"AFM RECYCLAGE"</f>
        <v>AFM RECYCLAGE</v>
      </c>
      <c r="C1969" s="4">
        <v>383482635</v>
      </c>
      <c r="D1969" s="3" t="s">
        <v>0</v>
      </c>
      <c r="E1969" s="2" t="str">
        <f>"PR5600039D"</f>
        <v>PR5600039D</v>
      </c>
      <c r="F1969" s="5">
        <v>44844</v>
      </c>
      <c r="G1969" s="5">
        <v>54789</v>
      </c>
      <c r="H1969" s="4" t="str">
        <f>""</f>
        <v/>
      </c>
      <c r="I1969" s="4" t="str">
        <f>""</f>
        <v/>
      </c>
    </row>
    <row r="1970" spans="1:9" x14ac:dyDescent="0.3">
      <c r="A1970" s="1" t="str">
        <f>"56"</f>
        <v>56</v>
      </c>
      <c r="B1970" s="4" t="str">
        <f>"AFM RECYCLAGE"</f>
        <v>AFM RECYCLAGE</v>
      </c>
      <c r="C1970" s="4">
        <v>383482635</v>
      </c>
      <c r="D1970" s="3" t="s">
        <v>0</v>
      </c>
      <c r="E1970" s="2" t="str">
        <f>"0005503551"</f>
        <v>0005503551</v>
      </c>
      <c r="F1970" s="5">
        <v>44844</v>
      </c>
      <c r="G1970" s="5">
        <v>54789</v>
      </c>
      <c r="H1970" s="4" t="str">
        <f>""</f>
        <v/>
      </c>
      <c r="I1970" s="4" t="str">
        <f>""</f>
        <v/>
      </c>
    </row>
    <row r="1971" spans="1:9" x14ac:dyDescent="0.3">
      <c r="A1971" s="1" t="str">
        <f>"56"</f>
        <v>56</v>
      </c>
      <c r="B1971" s="4" t="str">
        <f>"STOCK CAR"</f>
        <v>STOCK CAR</v>
      </c>
      <c r="C1971" s="4">
        <v>403223662</v>
      </c>
      <c r="D1971" s="3" t="s">
        <v>0</v>
      </c>
      <c r="E1971" s="2" t="str">
        <f>"PR5600008D"</f>
        <v>PR5600008D</v>
      </c>
      <c r="F1971" s="5">
        <v>43164</v>
      </c>
      <c r="G1971" s="5">
        <v>54789</v>
      </c>
      <c r="H1971" s="4" t="str">
        <f>""</f>
        <v/>
      </c>
      <c r="I1971" s="4" t="str">
        <f>""</f>
        <v/>
      </c>
    </row>
    <row r="1972" spans="1:9" x14ac:dyDescent="0.3">
      <c r="A1972" s="1" t="str">
        <f>"56"</f>
        <v>56</v>
      </c>
      <c r="B1972" s="4" t="str">
        <f>"STOCK CAR"</f>
        <v>STOCK CAR</v>
      </c>
      <c r="C1972" s="4">
        <v>403223662</v>
      </c>
      <c r="D1972" s="3" t="s">
        <v>0</v>
      </c>
      <c r="E1972" s="2" t="str">
        <f>"0005512619"</f>
        <v>0005512619</v>
      </c>
      <c r="F1972" s="5">
        <v>43164</v>
      </c>
      <c r="G1972" s="5">
        <v>54789</v>
      </c>
      <c r="H1972" s="4" t="str">
        <f>""</f>
        <v/>
      </c>
      <c r="I1972" s="4" t="str">
        <f>""</f>
        <v/>
      </c>
    </row>
    <row r="1973" spans="1:9" x14ac:dyDescent="0.3">
      <c r="A1973" s="1" t="str">
        <f>"56"</f>
        <v>56</v>
      </c>
      <c r="B1973" s="4" t="str">
        <f>"VANNES AUTO PIECES (VAP)"</f>
        <v>VANNES AUTO PIECES (VAP)</v>
      </c>
      <c r="C1973" s="4">
        <v>418271144</v>
      </c>
      <c r="D1973" s="3" t="s">
        <v>0</v>
      </c>
      <c r="E1973" s="2" t="str">
        <f>"PR5600004D"</f>
        <v>PR5600004D</v>
      </c>
      <c r="F1973" s="5">
        <v>43187</v>
      </c>
      <c r="G1973" s="5">
        <v>54789</v>
      </c>
      <c r="H1973" s="4" t="str">
        <f>""</f>
        <v/>
      </c>
      <c r="I1973" s="4" t="str">
        <f>""</f>
        <v/>
      </c>
    </row>
    <row r="1974" spans="1:9" x14ac:dyDescent="0.3">
      <c r="A1974" s="1" t="str">
        <f>"56"</f>
        <v>56</v>
      </c>
      <c r="B1974" s="4" t="str">
        <f>"VANNES AUTO PIECES (VAP)"</f>
        <v>VANNES AUTO PIECES (VAP)</v>
      </c>
      <c r="C1974" s="4">
        <v>418271144</v>
      </c>
      <c r="D1974" s="3" t="s">
        <v>0</v>
      </c>
      <c r="E1974" s="2" t="str">
        <f>"0005501659"</f>
        <v>0005501659</v>
      </c>
      <c r="F1974" s="5">
        <v>43187</v>
      </c>
      <c r="G1974" s="5">
        <v>54789</v>
      </c>
      <c r="H1974" s="4" t="str">
        <f>""</f>
        <v/>
      </c>
      <c r="I1974" s="4" t="str">
        <f>""</f>
        <v/>
      </c>
    </row>
    <row r="1975" spans="1:9" x14ac:dyDescent="0.3">
      <c r="A1975" s="1" t="str">
        <f>"56"</f>
        <v>56</v>
      </c>
      <c r="B1975" s="4" t="str">
        <f>"SOS PIECES AUTO"</f>
        <v>SOS PIECES AUTO</v>
      </c>
      <c r="C1975" s="4">
        <v>428666432</v>
      </c>
      <c r="D1975" s="3" t="s">
        <v>0</v>
      </c>
      <c r="E1975" s="2" t="str">
        <f>"PR5600005D"</f>
        <v>PR5600005D</v>
      </c>
      <c r="F1975" s="5">
        <v>43277</v>
      </c>
      <c r="G1975" s="5">
        <v>54789</v>
      </c>
      <c r="H1975" s="4" t="str">
        <f>""</f>
        <v/>
      </c>
      <c r="I1975" s="4" t="str">
        <f>""</f>
        <v/>
      </c>
    </row>
    <row r="1976" spans="1:9" x14ac:dyDescent="0.3">
      <c r="A1976" s="1" t="str">
        <f>"56"</f>
        <v>56</v>
      </c>
      <c r="B1976" s="4" t="str">
        <f>"SOS PIECES AUTO"</f>
        <v>SOS PIECES AUTO</v>
      </c>
      <c r="C1976" s="4">
        <v>428666432</v>
      </c>
      <c r="D1976" s="3" t="s">
        <v>0</v>
      </c>
      <c r="E1976" s="2" t="str">
        <f>"0005501869"</f>
        <v>0005501869</v>
      </c>
      <c r="F1976" s="5">
        <v>43277</v>
      </c>
      <c r="G1976" s="5">
        <v>54789</v>
      </c>
      <c r="H1976" s="4" t="str">
        <f>""</f>
        <v/>
      </c>
      <c r="I1976" s="4" t="str">
        <f>""</f>
        <v/>
      </c>
    </row>
    <row r="1977" spans="1:9" x14ac:dyDescent="0.3">
      <c r="A1977" s="1" t="str">
        <f>"56"</f>
        <v>56</v>
      </c>
      <c r="B1977" s="4" t="str">
        <f>"GUYOT ENVIRONNEMENT"</f>
        <v>GUYOT ENVIRONNEMENT</v>
      </c>
      <c r="C1977" s="4">
        <v>493286967</v>
      </c>
      <c r="D1977" s="3" t="s">
        <v>0</v>
      </c>
      <c r="E1977" s="2" t="str">
        <f>"PR5600021D"</f>
        <v>PR5600021D</v>
      </c>
      <c r="F1977" s="5">
        <v>43802</v>
      </c>
      <c r="G1977" s="5">
        <v>54789</v>
      </c>
      <c r="H1977" s="4" t="str">
        <f>""</f>
        <v/>
      </c>
      <c r="I1977" s="4" t="str">
        <f>""</f>
        <v/>
      </c>
    </row>
    <row r="1978" spans="1:9" x14ac:dyDescent="0.3">
      <c r="A1978" s="1" t="str">
        <f>"56"</f>
        <v>56</v>
      </c>
      <c r="B1978" s="4" t="str">
        <f>"GUYOT ENVIRONNEMENT"</f>
        <v>GUYOT ENVIRONNEMENT</v>
      </c>
      <c r="C1978" s="4">
        <v>493286967</v>
      </c>
      <c r="D1978" s="3" t="s">
        <v>0</v>
      </c>
      <c r="E1978" s="2" t="str">
        <f>"0005515785"</f>
        <v>0005515785</v>
      </c>
      <c r="F1978" s="5">
        <v>43802</v>
      </c>
      <c r="G1978" s="5">
        <v>54789</v>
      </c>
      <c r="H1978" s="4" t="str">
        <f>""</f>
        <v/>
      </c>
      <c r="I1978" s="4" t="str">
        <f>""</f>
        <v/>
      </c>
    </row>
    <row r="1979" spans="1:9" x14ac:dyDescent="0.3">
      <c r="A1979" s="1" t="str">
        <f>"56"</f>
        <v>56</v>
      </c>
      <c r="B1979" s="4" t="str">
        <f>"GUYOT ENVIRONNEMENT"</f>
        <v>GUYOT ENVIRONNEMENT</v>
      </c>
      <c r="C1979" s="4">
        <v>493286967</v>
      </c>
      <c r="D1979" s="3" t="s">
        <v>0</v>
      </c>
      <c r="E1979" s="2" t="str">
        <f>"PR5600032D"</f>
        <v>PR5600032D</v>
      </c>
      <c r="F1979" s="5">
        <v>42426</v>
      </c>
      <c r="G1979" s="5">
        <v>54789</v>
      </c>
      <c r="H1979" s="4" t="str">
        <f>""</f>
        <v/>
      </c>
      <c r="I1979" s="4" t="str">
        <f>""</f>
        <v/>
      </c>
    </row>
    <row r="1980" spans="1:9" x14ac:dyDescent="0.3">
      <c r="A1980" s="1" t="str">
        <f>"56"</f>
        <v>56</v>
      </c>
      <c r="B1980" s="4" t="str">
        <f>"GUYOT ENVIRONNEMENT"</f>
        <v>GUYOT ENVIRONNEMENT</v>
      </c>
      <c r="C1980" s="4">
        <v>493286967</v>
      </c>
      <c r="D1980" s="3" t="s">
        <v>0</v>
      </c>
      <c r="E1980" s="2" t="str">
        <f>"0005516714"</f>
        <v>0005516714</v>
      </c>
      <c r="F1980" s="5">
        <v>42426</v>
      </c>
      <c r="G1980" s="5">
        <v>54789</v>
      </c>
      <c r="H1980" s="4" t="str">
        <f>""</f>
        <v/>
      </c>
      <c r="I1980" s="4" t="str">
        <f>""</f>
        <v/>
      </c>
    </row>
    <row r="1981" spans="1:9" x14ac:dyDescent="0.3">
      <c r="A1981" s="1" t="str">
        <f>"56"</f>
        <v>56</v>
      </c>
      <c r="B1981" s="4" t="str">
        <f>"GUYOT ENVIRONNEMENT"</f>
        <v>GUYOT ENVIRONNEMENT</v>
      </c>
      <c r="C1981" s="4">
        <v>493286967</v>
      </c>
      <c r="D1981" s="3" t="s">
        <v>0</v>
      </c>
      <c r="E1981" s="2" t="str">
        <f>"PR5600042D"</f>
        <v>PR5600042D</v>
      </c>
      <c r="F1981" s="5">
        <v>44994</v>
      </c>
      <c r="G1981" s="5">
        <v>54789</v>
      </c>
      <c r="H1981" s="4" t="str">
        <f>""</f>
        <v/>
      </c>
      <c r="I1981" s="4" t="str">
        <f>""</f>
        <v/>
      </c>
    </row>
    <row r="1982" spans="1:9" x14ac:dyDescent="0.3">
      <c r="A1982" s="1" t="str">
        <f>"56"</f>
        <v>56</v>
      </c>
      <c r="B1982" s="4" t="str">
        <f>"GUYOT ENVIRONNEMENT"</f>
        <v>GUYOT ENVIRONNEMENT</v>
      </c>
      <c r="C1982" s="4">
        <v>493286967</v>
      </c>
      <c r="D1982" s="3" t="s">
        <v>0</v>
      </c>
      <c r="E1982" s="2" t="str">
        <f>"0005510394"</f>
        <v>0005510394</v>
      </c>
      <c r="F1982" s="5">
        <v>44994</v>
      </c>
      <c r="G1982" s="5">
        <v>54789</v>
      </c>
      <c r="H1982" s="4" t="str">
        <f>""</f>
        <v/>
      </c>
      <c r="I1982" s="4" t="str">
        <f>""</f>
        <v/>
      </c>
    </row>
    <row r="1983" spans="1:9" x14ac:dyDescent="0.3">
      <c r="A1983" s="1" t="str">
        <f>"56"</f>
        <v>56</v>
      </c>
      <c r="B1983" s="4" t="str">
        <f>"LE CUNFF-LUCAS"</f>
        <v>LE CUNFF-LUCAS</v>
      </c>
      <c r="C1983" s="4">
        <v>498196617</v>
      </c>
      <c r="D1983" s="3" t="s">
        <v>0</v>
      </c>
      <c r="E1983" s="2" t="str">
        <f>"PR5600026D"</f>
        <v>PR5600026D</v>
      </c>
      <c r="F1983" s="5">
        <v>42640</v>
      </c>
      <c r="G1983" s="5">
        <v>54789</v>
      </c>
      <c r="H1983" s="4" t="str">
        <f>""</f>
        <v/>
      </c>
      <c r="I1983" s="4" t="str">
        <f>""</f>
        <v/>
      </c>
    </row>
    <row r="1984" spans="1:9" x14ac:dyDescent="0.3">
      <c r="A1984" s="1" t="str">
        <f>"56"</f>
        <v>56</v>
      </c>
      <c r="B1984" s="4" t="str">
        <f>"LE CUNFF-LUCAS"</f>
        <v>LE CUNFF-LUCAS</v>
      </c>
      <c r="C1984" s="4">
        <v>498196617</v>
      </c>
      <c r="D1984" s="3" t="s">
        <v>0</v>
      </c>
      <c r="E1984" s="2" t="str">
        <f>"0005512497"</f>
        <v>0005512497</v>
      </c>
      <c r="F1984" s="5">
        <v>42640</v>
      </c>
      <c r="G1984" s="5">
        <v>54789</v>
      </c>
      <c r="H1984" s="4" t="str">
        <f>""</f>
        <v/>
      </c>
      <c r="I1984" s="4" t="str">
        <f>""</f>
        <v/>
      </c>
    </row>
    <row r="1985" spans="1:9" x14ac:dyDescent="0.3">
      <c r="A1985" s="1" t="str">
        <f>"56"</f>
        <v>56</v>
      </c>
      <c r="B1985" s="4" t="str">
        <f>"ATLANTIC RECYCLING AUTO (ARA)"</f>
        <v>ATLANTIC RECYCLING AUTO (ARA)</v>
      </c>
      <c r="C1985" s="4">
        <v>523974756</v>
      </c>
      <c r="D1985" s="3" t="s">
        <v>0</v>
      </c>
      <c r="E1985" s="2" t="str">
        <f>"PR5600036D"</f>
        <v>PR5600036D</v>
      </c>
      <c r="F1985" s="5">
        <v>44109</v>
      </c>
      <c r="G1985" s="5">
        <v>54789</v>
      </c>
      <c r="H1985" s="4" t="str">
        <f>""</f>
        <v/>
      </c>
      <c r="I1985" s="4" t="str">
        <f>""</f>
        <v/>
      </c>
    </row>
    <row r="1986" spans="1:9" x14ac:dyDescent="0.3">
      <c r="A1986" s="1" t="str">
        <f>"56"</f>
        <v>56</v>
      </c>
      <c r="B1986" s="4" t="str">
        <f>"ATLANTIC RECYCLING AUTO (ARA)"</f>
        <v>ATLANTIC RECYCLING AUTO (ARA)</v>
      </c>
      <c r="C1986" s="4">
        <v>523974756</v>
      </c>
      <c r="D1986" s="3" t="s">
        <v>0</v>
      </c>
      <c r="E1986" s="2" t="str">
        <f>"0005512511"</f>
        <v>0005512511</v>
      </c>
      <c r="F1986" s="5">
        <v>44109</v>
      </c>
      <c r="G1986" s="5">
        <v>54789</v>
      </c>
      <c r="H1986" s="4" t="str">
        <f>""</f>
        <v/>
      </c>
      <c r="I1986" s="4" t="str">
        <f>""</f>
        <v/>
      </c>
    </row>
    <row r="1987" spans="1:9" x14ac:dyDescent="0.3">
      <c r="A1987" s="1" t="str">
        <f>"56"</f>
        <v>56</v>
      </c>
      <c r="B1987" s="4" t="str">
        <f>"BRAJEUL RECYCLAGE"</f>
        <v>BRAJEUL RECYCLAGE</v>
      </c>
      <c r="C1987" s="4">
        <v>531066801</v>
      </c>
      <c r="D1987" s="3" t="s">
        <v>0</v>
      </c>
      <c r="E1987" s="2" t="str">
        <f>"PR5600031D"</f>
        <v>PR5600031D</v>
      </c>
      <c r="F1987" s="5">
        <v>42354</v>
      </c>
      <c r="G1987" s="5">
        <v>54789</v>
      </c>
      <c r="H1987" s="4" t="str">
        <f>""</f>
        <v/>
      </c>
      <c r="I1987" s="4" t="str">
        <f>""</f>
        <v/>
      </c>
    </row>
    <row r="1988" spans="1:9" x14ac:dyDescent="0.3">
      <c r="A1988" s="1" t="str">
        <f>"56"</f>
        <v>56</v>
      </c>
      <c r="B1988" s="4" t="str">
        <f>"BRAJEUL RECYCLAGE"</f>
        <v>BRAJEUL RECYCLAGE</v>
      </c>
      <c r="C1988" s="4">
        <v>531066801</v>
      </c>
      <c r="D1988" s="3" t="s">
        <v>0</v>
      </c>
      <c r="E1988" s="2" t="str">
        <f>"0005517291"</f>
        <v>0005517291</v>
      </c>
      <c r="F1988" s="5">
        <v>42354</v>
      </c>
      <c r="G1988" s="5">
        <v>54789</v>
      </c>
      <c r="H1988" s="4" t="str">
        <f>""</f>
        <v/>
      </c>
      <c r="I1988" s="4" t="str">
        <f>""</f>
        <v/>
      </c>
    </row>
    <row r="1989" spans="1:9" x14ac:dyDescent="0.3">
      <c r="A1989" s="1" t="str">
        <f>"56"</f>
        <v>56</v>
      </c>
      <c r="B1989" s="4" t="str">
        <f>"ROMI BRETAGNE"</f>
        <v>ROMI BRETAGNE</v>
      </c>
      <c r="C1989" s="4">
        <v>639200484</v>
      </c>
      <c r="D1989" s="3" t="s">
        <v>0</v>
      </c>
      <c r="E1989" s="2" t="str">
        <f>"PR5600016D"</f>
        <v>PR5600016D</v>
      </c>
      <c r="F1989" s="5">
        <v>43929</v>
      </c>
      <c r="G1989" s="5">
        <v>54789</v>
      </c>
      <c r="H1989" s="4" t="str">
        <f>""</f>
        <v/>
      </c>
      <c r="I1989" s="4" t="str">
        <f>""</f>
        <v/>
      </c>
    </row>
    <row r="1990" spans="1:9" x14ac:dyDescent="0.3">
      <c r="A1990" s="1" t="str">
        <f>"56"</f>
        <v>56</v>
      </c>
      <c r="B1990" s="4" t="str">
        <f>"ROMI BRETAGNE"</f>
        <v>ROMI BRETAGNE</v>
      </c>
      <c r="C1990" s="4">
        <v>639200484</v>
      </c>
      <c r="D1990" s="3" t="s">
        <v>0</v>
      </c>
      <c r="E1990" s="2" t="str">
        <f>"0005501923"</f>
        <v>0005501923</v>
      </c>
      <c r="F1990" s="5">
        <v>43929</v>
      </c>
      <c r="G1990" s="5">
        <v>54789</v>
      </c>
      <c r="H1990" s="4" t="str">
        <f>""</f>
        <v/>
      </c>
      <c r="I1990" s="4" t="str">
        <f>""</f>
        <v/>
      </c>
    </row>
    <row r="1991" spans="1:9" x14ac:dyDescent="0.3">
      <c r="A1991" s="1" t="str">
        <f>"56"</f>
        <v>56</v>
      </c>
      <c r="B1991" s="4" t="str">
        <f>"DEPANAUTOS"</f>
        <v>DEPANAUTOS</v>
      </c>
      <c r="C1991" s="4">
        <v>777800475</v>
      </c>
      <c r="D1991" s="3" t="s">
        <v>0</v>
      </c>
      <c r="E1991" s="2" t="str">
        <f>"PR5600029D"</f>
        <v>PR5600029D</v>
      </c>
      <c r="F1991" s="5">
        <v>42886</v>
      </c>
      <c r="G1991" s="5">
        <v>54789</v>
      </c>
      <c r="H1991" s="4" t="str">
        <f>""</f>
        <v/>
      </c>
      <c r="I1991" s="4" t="str">
        <f>""</f>
        <v/>
      </c>
    </row>
    <row r="1992" spans="1:9" x14ac:dyDescent="0.3">
      <c r="A1992" s="1" t="str">
        <f>"56"</f>
        <v>56</v>
      </c>
      <c r="B1992" s="4" t="str">
        <f>"DEPANAUTOS"</f>
        <v>DEPANAUTOS</v>
      </c>
      <c r="C1992" s="4">
        <v>777800475</v>
      </c>
      <c r="D1992" s="3" t="s">
        <v>0</v>
      </c>
      <c r="E1992" s="2" t="str">
        <f>"0005501666"</f>
        <v>0005501666</v>
      </c>
      <c r="F1992" s="5">
        <v>42886</v>
      </c>
      <c r="G1992" s="5">
        <v>54789</v>
      </c>
      <c r="H1992" s="4" t="str">
        <f>""</f>
        <v/>
      </c>
      <c r="I1992" s="4" t="str">
        <f>""</f>
        <v/>
      </c>
    </row>
    <row r="1993" spans="1:9" x14ac:dyDescent="0.3">
      <c r="A1993" s="1" t="str">
        <f>"56"</f>
        <v>56</v>
      </c>
      <c r="B1993" s="4" t="str">
        <f>"PELHATRE RECUPERATION RECYCLAGE"</f>
        <v>PELHATRE RECUPERATION RECYCLAGE</v>
      </c>
      <c r="C1993" s="4">
        <v>799305990</v>
      </c>
      <c r="D1993" s="3" t="s">
        <v>0</v>
      </c>
      <c r="E1993" s="2" t="str">
        <f>"PR5600030D"</f>
        <v>PR5600030D</v>
      </c>
      <c r="F1993" s="5">
        <v>42830</v>
      </c>
      <c r="G1993" s="5">
        <v>54789</v>
      </c>
      <c r="H1993" s="4" t="str">
        <f>""</f>
        <v/>
      </c>
      <c r="I1993" s="4" t="str">
        <f>""</f>
        <v/>
      </c>
    </row>
    <row r="1994" spans="1:9" x14ac:dyDescent="0.3">
      <c r="A1994" s="1" t="str">
        <f>"56"</f>
        <v>56</v>
      </c>
      <c r="B1994" s="4" t="str">
        <f>"PELHATRE RECUPERATION RECYCLAGE"</f>
        <v>PELHATRE RECUPERATION RECYCLAGE</v>
      </c>
      <c r="C1994" s="4">
        <v>799305990</v>
      </c>
      <c r="D1994" s="3" t="s">
        <v>0</v>
      </c>
      <c r="E1994" s="2" t="str">
        <f>"0005516762"</f>
        <v>0005516762</v>
      </c>
      <c r="F1994" s="5">
        <v>42830</v>
      </c>
      <c r="G1994" s="5">
        <v>54789</v>
      </c>
      <c r="H1994" s="4" t="str">
        <f>""</f>
        <v/>
      </c>
      <c r="I1994" s="4" t="str">
        <f>""</f>
        <v/>
      </c>
    </row>
    <row r="1995" spans="1:9" x14ac:dyDescent="0.3">
      <c r="A1995" s="1" t="str">
        <f>"56"</f>
        <v>56</v>
      </c>
      <c r="B1995" s="4" t="str">
        <f>"BROCELIANDE PIECES AUTO"</f>
        <v>BROCELIANDE PIECES AUTO</v>
      </c>
      <c r="C1995" s="4">
        <v>812482560</v>
      </c>
      <c r="D1995" s="3" t="s">
        <v>0</v>
      </c>
      <c r="E1995" s="2" t="str">
        <f>"PR5600027D"</f>
        <v>PR5600027D</v>
      </c>
      <c r="F1995" s="5">
        <v>42471</v>
      </c>
      <c r="G1995" s="5">
        <v>54789</v>
      </c>
      <c r="H1995" s="4" t="str">
        <f>""</f>
        <v/>
      </c>
      <c r="I1995" s="4" t="str">
        <f>""</f>
        <v/>
      </c>
    </row>
    <row r="1996" spans="1:9" x14ac:dyDescent="0.3">
      <c r="A1996" s="1" t="str">
        <f>"56"</f>
        <v>56</v>
      </c>
      <c r="B1996" s="4" t="str">
        <f>"BROCELIANDE PIECES AUTO"</f>
        <v>BROCELIANDE PIECES AUTO</v>
      </c>
      <c r="C1996" s="4">
        <v>812482560</v>
      </c>
      <c r="D1996" s="3" t="s">
        <v>0</v>
      </c>
      <c r="E1996" s="2" t="str">
        <f>"0005514555"</f>
        <v>0005514555</v>
      </c>
      <c r="F1996" s="5">
        <v>42471</v>
      </c>
      <c r="G1996" s="5">
        <v>54789</v>
      </c>
      <c r="H1996" s="4" t="str">
        <f>""</f>
        <v/>
      </c>
      <c r="I1996" s="4" t="str">
        <f>""</f>
        <v/>
      </c>
    </row>
    <row r="1997" spans="1:9" x14ac:dyDescent="0.3">
      <c r="A1997" s="1" t="str">
        <f>"56"</f>
        <v>56</v>
      </c>
      <c r="B1997" s="4" t="str">
        <f>"BRETAGNE RECUPERATION AUTO"</f>
        <v>BRETAGNE RECUPERATION AUTO</v>
      </c>
      <c r="C1997" s="4">
        <v>819233685</v>
      </c>
      <c r="D1997" s="3" t="s">
        <v>0</v>
      </c>
      <c r="E1997" s="2" t="str">
        <f>"PR5600015D"</f>
        <v>PR5600015D</v>
      </c>
      <c r="F1997" s="5">
        <v>43627</v>
      </c>
      <c r="G1997" s="5">
        <v>54789</v>
      </c>
      <c r="H1997" s="4" t="str">
        <f>""</f>
        <v/>
      </c>
      <c r="I1997" s="4" t="str">
        <f>""</f>
        <v/>
      </c>
    </row>
    <row r="1998" spans="1:9" x14ac:dyDescent="0.3">
      <c r="A1998" s="1" t="str">
        <f>"56"</f>
        <v>56</v>
      </c>
      <c r="B1998" s="4" t="str">
        <f>"BRETAGNE RECUPERATION AUTO"</f>
        <v>BRETAGNE RECUPERATION AUTO</v>
      </c>
      <c r="C1998" s="4">
        <v>819233685</v>
      </c>
      <c r="D1998" s="3" t="s">
        <v>0</v>
      </c>
      <c r="E1998" s="2" t="str">
        <f>"0005501672"</f>
        <v>0005501672</v>
      </c>
      <c r="F1998" s="5">
        <v>43627</v>
      </c>
      <c r="G1998" s="5">
        <v>54789</v>
      </c>
      <c r="H1998" s="4" t="str">
        <f>""</f>
        <v/>
      </c>
      <c r="I1998" s="4" t="str">
        <f>""</f>
        <v/>
      </c>
    </row>
    <row r="1999" spans="1:9" x14ac:dyDescent="0.3">
      <c r="A1999" s="1" t="str">
        <f>"56"</f>
        <v>56</v>
      </c>
      <c r="B1999" s="4" t="str">
        <f>"TERTU AUTO CASSE"</f>
        <v>TERTU AUTO CASSE</v>
      </c>
      <c r="C1999" s="4">
        <v>839850815</v>
      </c>
      <c r="D1999" s="3" t="s">
        <v>0</v>
      </c>
      <c r="E1999" s="2" t="str">
        <f>"PR5600035D"</f>
        <v>PR5600035D</v>
      </c>
      <c r="F1999" s="5">
        <v>43508</v>
      </c>
      <c r="G1999" s="5">
        <v>54789</v>
      </c>
      <c r="H1999" s="4" t="str">
        <f>""</f>
        <v/>
      </c>
      <c r="I1999" s="4" t="str">
        <f>""</f>
        <v/>
      </c>
    </row>
    <row r="2000" spans="1:9" x14ac:dyDescent="0.3">
      <c r="A2000" s="1" t="str">
        <f>"56"</f>
        <v>56</v>
      </c>
      <c r="B2000" s="4" t="str">
        <f>"TERTU AUTO CASSE"</f>
        <v>TERTU AUTO CASSE</v>
      </c>
      <c r="C2000" s="4">
        <v>839850815</v>
      </c>
      <c r="D2000" s="3" t="s">
        <v>0</v>
      </c>
      <c r="E2000" s="2" t="str">
        <f>"0005512670"</f>
        <v>0005512670</v>
      </c>
      <c r="F2000" s="5">
        <v>43508</v>
      </c>
      <c r="G2000" s="5">
        <v>54789</v>
      </c>
      <c r="H2000" s="4" t="str">
        <f>""</f>
        <v/>
      </c>
      <c r="I2000" s="4" t="str">
        <f>""</f>
        <v/>
      </c>
    </row>
    <row r="2001" spans="1:9" x14ac:dyDescent="0.3">
      <c r="A2001" s="1" t="str">
        <f>"56"</f>
        <v>56</v>
      </c>
      <c r="B2001" s="4" t="str">
        <f>"AUTO RECYCLAGE PONTIVY"</f>
        <v>AUTO RECYCLAGE PONTIVY</v>
      </c>
      <c r="C2001" s="4">
        <v>911128825</v>
      </c>
      <c r="D2001" s="3" t="s">
        <v>0</v>
      </c>
      <c r="E2001" s="2" t="str">
        <f>"PR5600040D"</f>
        <v>PR5600040D</v>
      </c>
      <c r="F2001" s="5">
        <v>44881</v>
      </c>
      <c r="G2001" s="5">
        <v>54789</v>
      </c>
      <c r="H2001" s="4" t="str">
        <f>""</f>
        <v/>
      </c>
      <c r="I2001" s="4" t="str">
        <f>""</f>
        <v/>
      </c>
    </row>
    <row r="2002" spans="1:9" x14ac:dyDescent="0.3">
      <c r="A2002" s="1" t="str">
        <f>"56"</f>
        <v>56</v>
      </c>
      <c r="B2002" s="4" t="str">
        <f>"AUTO RECYCLAGE PONTIVY"</f>
        <v>AUTO RECYCLAGE PONTIVY</v>
      </c>
      <c r="C2002" s="4">
        <v>911128825</v>
      </c>
      <c r="D2002" s="3" t="s">
        <v>0</v>
      </c>
      <c r="E2002" s="2" t="str">
        <f>"0005515309"</f>
        <v>0005515309</v>
      </c>
      <c r="F2002" s="5">
        <v>44881</v>
      </c>
      <c r="G2002" s="5">
        <v>54789</v>
      </c>
      <c r="H2002" s="4" t="str">
        <f>""</f>
        <v/>
      </c>
      <c r="I2002" s="4" t="str">
        <f>""</f>
        <v/>
      </c>
    </row>
    <row r="2003" spans="1:9" x14ac:dyDescent="0.3">
      <c r="A2003" s="1" t="str">
        <f>"56"</f>
        <v>56</v>
      </c>
      <c r="B2003" s="4" t="str">
        <f>"TRENTETROIS"</f>
        <v>TRENTETROIS</v>
      </c>
      <c r="C2003" s="4">
        <v>918702531</v>
      </c>
      <c r="D2003" s="3" t="s">
        <v>0</v>
      </c>
      <c r="E2003" s="2" t="str">
        <f>"PR5600041D"</f>
        <v>PR5600041D</v>
      </c>
      <c r="F2003" s="5">
        <v>44904</v>
      </c>
      <c r="G2003" s="5">
        <v>54789</v>
      </c>
      <c r="H2003" s="4" t="str">
        <f>""</f>
        <v/>
      </c>
      <c r="I2003" s="4" t="str">
        <f>""</f>
        <v/>
      </c>
    </row>
    <row r="2004" spans="1:9" x14ac:dyDescent="0.3">
      <c r="A2004" s="1" t="str">
        <f>"56"</f>
        <v>56</v>
      </c>
      <c r="B2004" s="4" t="str">
        <f>"TRENTETROIS"</f>
        <v>TRENTETROIS</v>
      </c>
      <c r="C2004" s="4">
        <v>918702531</v>
      </c>
      <c r="D2004" s="3" t="s">
        <v>0</v>
      </c>
      <c r="E2004" s="2" t="str">
        <f>"0005503698"</f>
        <v>0005503698</v>
      </c>
      <c r="F2004" s="5">
        <v>44904</v>
      </c>
      <c r="G2004" s="5">
        <v>54789</v>
      </c>
      <c r="H2004" s="4" t="str">
        <f>""</f>
        <v/>
      </c>
      <c r="I2004" s="4" t="str">
        <f>""</f>
        <v/>
      </c>
    </row>
    <row r="2005" spans="1:9" x14ac:dyDescent="0.3">
      <c r="A2005" s="1" t="str">
        <f>"56"</f>
        <v>56</v>
      </c>
      <c r="B2005" s="4" t="str">
        <f>"SARL CITY CASSE"</f>
        <v>SARL CITY CASSE</v>
      </c>
      <c r="C2005" s="4">
        <v>985120120</v>
      </c>
      <c r="D2005" s="3" t="s">
        <v>0</v>
      </c>
      <c r="E2005" s="2" t="str">
        <f>"PR5600043D"</f>
        <v>PR5600043D</v>
      </c>
      <c r="F2005" s="5">
        <v>45632</v>
      </c>
      <c r="G2005" s="5">
        <v>54789</v>
      </c>
      <c r="H2005" s="4" t="str">
        <f>""</f>
        <v/>
      </c>
      <c r="I2005" s="4" t="str">
        <f>""</f>
        <v/>
      </c>
    </row>
    <row r="2006" spans="1:9" x14ac:dyDescent="0.3">
      <c r="A2006" s="1" t="str">
        <f>"56"</f>
        <v>56</v>
      </c>
      <c r="B2006" s="4" t="str">
        <f>"SARL CITY CASSE"</f>
        <v>SARL CITY CASSE</v>
      </c>
      <c r="C2006" s="4">
        <v>985120120</v>
      </c>
      <c r="D2006" s="3" t="s">
        <v>0</v>
      </c>
      <c r="E2006" s="2" t="str">
        <f>"0005501957"</f>
        <v>0005501957</v>
      </c>
      <c r="F2006" s="5">
        <v>45632</v>
      </c>
      <c r="G2006" s="5">
        <v>54789</v>
      </c>
      <c r="H2006" s="4" t="str">
        <f>""</f>
        <v/>
      </c>
      <c r="I2006" s="4" t="str">
        <f>""</f>
        <v/>
      </c>
    </row>
    <row r="2007" spans="1:9" x14ac:dyDescent="0.3">
      <c r="A2007" s="1" t="str">
        <f>"57"</f>
        <v>57</v>
      </c>
      <c r="B2007" s="4" t="str">
        <f>"WOIPPY CASSE"</f>
        <v>WOIPPY CASSE</v>
      </c>
      <c r="C2007" s="4">
        <v>314468463</v>
      </c>
      <c r="D2007" s="3" t="s">
        <v>0</v>
      </c>
      <c r="E2007" s="2" t="str">
        <f>"PR5700011D"</f>
        <v>PR5700011D</v>
      </c>
      <c r="F2007" s="5">
        <v>41033</v>
      </c>
      <c r="G2007" s="5">
        <v>54789</v>
      </c>
      <c r="H2007" s="4" t="str">
        <f>""</f>
        <v/>
      </c>
      <c r="I2007" s="4" t="str">
        <f>""</f>
        <v/>
      </c>
    </row>
    <row r="2008" spans="1:9" x14ac:dyDescent="0.3">
      <c r="A2008" s="1" t="str">
        <f>"57"</f>
        <v>57</v>
      </c>
      <c r="B2008" s="4" t="str">
        <f>"WOIPPY CASSE"</f>
        <v>WOIPPY CASSE</v>
      </c>
      <c r="C2008" s="4">
        <v>314468463</v>
      </c>
      <c r="D2008" s="3" t="s">
        <v>0</v>
      </c>
      <c r="E2008" s="2" t="str">
        <f>"0006201997"</f>
        <v>0006201997</v>
      </c>
      <c r="F2008" s="5">
        <v>41033</v>
      </c>
      <c r="G2008" s="5">
        <v>54789</v>
      </c>
      <c r="H2008" s="4" t="str">
        <f>""</f>
        <v/>
      </c>
      <c r="I2008" s="4" t="str">
        <f>""</f>
        <v/>
      </c>
    </row>
    <row r="2009" spans="1:9" x14ac:dyDescent="0.3">
      <c r="A2009" s="1" t="str">
        <f>"57"</f>
        <v>57</v>
      </c>
      <c r="B2009" s="4" t="str">
        <f>"BRUNER"</f>
        <v>BRUNER</v>
      </c>
      <c r="C2009" s="4">
        <v>314954439</v>
      </c>
      <c r="D2009" s="3" t="s">
        <v>0</v>
      </c>
      <c r="E2009" s="2" t="str">
        <f>"PR5700029D"</f>
        <v>PR5700029D</v>
      </c>
      <c r="F2009" s="5">
        <v>43435</v>
      </c>
      <c r="G2009" s="5">
        <v>54789</v>
      </c>
      <c r="H2009" s="4" t="str">
        <f>""</f>
        <v/>
      </c>
      <c r="I2009" s="4" t="str">
        <f>""</f>
        <v/>
      </c>
    </row>
    <row r="2010" spans="1:9" x14ac:dyDescent="0.3">
      <c r="A2010" s="1" t="str">
        <f>"57"</f>
        <v>57</v>
      </c>
      <c r="B2010" s="4" t="str">
        <f>"BRUNER"</f>
        <v>BRUNER</v>
      </c>
      <c r="C2010" s="4">
        <v>314954439</v>
      </c>
      <c r="D2010" s="3" t="s">
        <v>0</v>
      </c>
      <c r="E2010" s="2" t="str">
        <f>"0006201832"</f>
        <v>0006201832</v>
      </c>
      <c r="F2010" s="5">
        <v>43435</v>
      </c>
      <c r="G2010" s="5">
        <v>54789</v>
      </c>
      <c r="H2010" s="4" t="str">
        <f>""</f>
        <v/>
      </c>
      <c r="I2010" s="4" t="str">
        <f>""</f>
        <v/>
      </c>
    </row>
    <row r="2011" spans="1:9" x14ac:dyDescent="0.3">
      <c r="A2011" s="1" t="str">
        <f>"57"</f>
        <v>57</v>
      </c>
      <c r="B2011" s="4" t="str">
        <f>"AUTO THIONVILLE"</f>
        <v>AUTO THIONVILLE</v>
      </c>
      <c r="C2011" s="4">
        <v>322970070</v>
      </c>
      <c r="D2011" s="3" t="s">
        <v>0</v>
      </c>
      <c r="E2011" s="2" t="str">
        <f>"PR5700002D"</f>
        <v>PR5700002D</v>
      </c>
      <c r="F2011" s="5">
        <v>43293</v>
      </c>
      <c r="G2011" s="5">
        <v>54789</v>
      </c>
      <c r="H2011" s="4" t="str">
        <f>""</f>
        <v/>
      </c>
      <c r="I2011" s="4" t="str">
        <f>""</f>
        <v/>
      </c>
    </row>
    <row r="2012" spans="1:9" x14ac:dyDescent="0.3">
      <c r="A2012" s="1" t="str">
        <f>"57"</f>
        <v>57</v>
      </c>
      <c r="B2012" s="4" t="str">
        <f>"AUTO THIONVILLE"</f>
        <v>AUTO THIONVILLE</v>
      </c>
      <c r="C2012" s="4">
        <v>322970070</v>
      </c>
      <c r="D2012" s="3" t="s">
        <v>0</v>
      </c>
      <c r="E2012" s="2" t="str">
        <f>"0006205655"</f>
        <v>0006205655</v>
      </c>
      <c r="F2012" s="5">
        <v>43293</v>
      </c>
      <c r="G2012" s="5">
        <v>54789</v>
      </c>
      <c r="H2012" s="4" t="str">
        <f>""</f>
        <v/>
      </c>
      <c r="I2012" s="4" t="str">
        <f>""</f>
        <v/>
      </c>
    </row>
    <row r="2013" spans="1:9" x14ac:dyDescent="0.3">
      <c r="A2013" s="1" t="str">
        <f>"57"</f>
        <v>57</v>
      </c>
      <c r="B2013" s="4" t="str">
        <f>"AUTOCASS' SAINT-AVOD"</f>
        <v>AUTOCASS' SAINT-AVOD</v>
      </c>
      <c r="C2013" s="4">
        <v>325469013</v>
      </c>
      <c r="D2013" s="3" t="s">
        <v>0</v>
      </c>
      <c r="E2013" s="2" t="str">
        <f>"PR5700005D"</f>
        <v>PR5700005D</v>
      </c>
      <c r="F2013" s="5">
        <v>43294</v>
      </c>
      <c r="G2013" s="5">
        <v>54789</v>
      </c>
      <c r="H2013" s="4" t="str">
        <f>""</f>
        <v/>
      </c>
      <c r="I2013" s="4" t="str">
        <f>""</f>
        <v/>
      </c>
    </row>
    <row r="2014" spans="1:9" x14ac:dyDescent="0.3">
      <c r="A2014" s="1" t="str">
        <f>"57"</f>
        <v>57</v>
      </c>
      <c r="B2014" s="4" t="str">
        <f>"AUTOCASS' SAINT-AVOD"</f>
        <v>AUTOCASS' SAINT-AVOD</v>
      </c>
      <c r="C2014" s="4">
        <v>325469013</v>
      </c>
      <c r="D2014" s="3" t="s">
        <v>0</v>
      </c>
      <c r="E2014" s="2" t="str">
        <f>"0006201441"</f>
        <v>0006201441</v>
      </c>
      <c r="F2014" s="5">
        <v>43294</v>
      </c>
      <c r="G2014" s="5">
        <v>54789</v>
      </c>
      <c r="H2014" s="4" t="str">
        <f>""</f>
        <v/>
      </c>
      <c r="I2014" s="4" t="str">
        <f>""</f>
        <v/>
      </c>
    </row>
    <row r="2015" spans="1:9" x14ac:dyDescent="0.3">
      <c r="A2015" s="1" t="str">
        <f>"57"</f>
        <v>57</v>
      </c>
      <c r="B2015" s="4" t="str">
        <f>"MARIN"</f>
        <v>MARIN</v>
      </c>
      <c r="C2015" s="4">
        <v>334864923</v>
      </c>
      <c r="D2015" s="3" t="s">
        <v>0</v>
      </c>
      <c r="E2015" s="2" t="str">
        <f>"PR5700033D"</f>
        <v>PR5700033D</v>
      </c>
      <c r="F2015" s="5">
        <v>43662</v>
      </c>
      <c r="G2015" s="5">
        <v>54789</v>
      </c>
      <c r="H2015" s="4" t="str">
        <f>""</f>
        <v/>
      </c>
      <c r="I2015" s="4" t="str">
        <f>""</f>
        <v/>
      </c>
    </row>
    <row r="2016" spans="1:9" x14ac:dyDescent="0.3">
      <c r="A2016" s="1" t="str">
        <f>"57"</f>
        <v>57</v>
      </c>
      <c r="B2016" s="4" t="str">
        <f>"MARIN"</f>
        <v>MARIN</v>
      </c>
      <c r="C2016" s="4">
        <v>334864923</v>
      </c>
      <c r="D2016" s="3" t="s">
        <v>0</v>
      </c>
      <c r="E2016" s="2" t="str">
        <f>"0006207856"</f>
        <v>0006207856</v>
      </c>
      <c r="F2016" s="5">
        <v>43662</v>
      </c>
      <c r="G2016" s="5">
        <v>54789</v>
      </c>
      <c r="H2016" s="4" t="str">
        <f>""</f>
        <v/>
      </c>
      <c r="I2016" s="4" t="str">
        <f>""</f>
        <v/>
      </c>
    </row>
    <row r="2017" spans="1:9" x14ac:dyDescent="0.3">
      <c r="A2017" s="1" t="str">
        <f>"57"</f>
        <v>57</v>
      </c>
      <c r="B2017" s="4" t="str">
        <f>"CASSE AUTO ANDRE"</f>
        <v>CASSE AUTO ANDRE</v>
      </c>
      <c r="C2017" s="4">
        <v>342872546</v>
      </c>
      <c r="D2017" s="3" t="s">
        <v>0</v>
      </c>
      <c r="E2017" s="2" t="str">
        <f>"PR5700027D"</f>
        <v>PR5700027D</v>
      </c>
      <c r="F2017" s="5">
        <v>44652</v>
      </c>
      <c r="G2017" s="5">
        <v>54789</v>
      </c>
      <c r="H2017" s="4" t="str">
        <f>""</f>
        <v/>
      </c>
      <c r="I2017" s="4" t="str">
        <f>""</f>
        <v/>
      </c>
    </row>
    <row r="2018" spans="1:9" x14ac:dyDescent="0.3">
      <c r="A2018" s="1" t="str">
        <f>"57"</f>
        <v>57</v>
      </c>
      <c r="B2018" s="4" t="str">
        <f>"CASSE AUTO ANDRE"</f>
        <v>CASSE AUTO ANDRE</v>
      </c>
      <c r="C2018" s="4">
        <v>342872546</v>
      </c>
      <c r="D2018" s="3" t="s">
        <v>0</v>
      </c>
      <c r="E2018" s="2" t="str">
        <f>"0006201055"</f>
        <v>0006201055</v>
      </c>
      <c r="F2018" s="5">
        <v>44652</v>
      </c>
      <c r="G2018" s="5">
        <v>54789</v>
      </c>
      <c r="H2018" s="4" t="str">
        <f>""</f>
        <v/>
      </c>
      <c r="I2018" s="4" t="str">
        <f>""</f>
        <v/>
      </c>
    </row>
    <row r="2019" spans="1:9" x14ac:dyDescent="0.3">
      <c r="A2019" s="1" t="str">
        <f>"57"</f>
        <v>57</v>
      </c>
      <c r="B2019" s="4" t="str">
        <f>"RECUPERATION AUTOMOBILE MALEWICZ"</f>
        <v>RECUPERATION AUTOMOBILE MALEWICZ</v>
      </c>
      <c r="C2019" s="4">
        <v>349805101</v>
      </c>
      <c r="D2019" s="3" t="s">
        <v>0</v>
      </c>
      <c r="E2019" s="2" t="str">
        <f>"PR5700024D"</f>
        <v>PR5700024D</v>
      </c>
      <c r="F2019" s="5">
        <v>43293</v>
      </c>
      <c r="G2019" s="5">
        <v>54789</v>
      </c>
      <c r="H2019" s="4" t="str">
        <f>""</f>
        <v/>
      </c>
      <c r="I2019" s="4" t="str">
        <f>""</f>
        <v/>
      </c>
    </row>
    <row r="2020" spans="1:9" x14ac:dyDescent="0.3">
      <c r="A2020" s="1" t="str">
        <f>"57"</f>
        <v>57</v>
      </c>
      <c r="B2020" s="4" t="str">
        <f>"RECUPERATION AUTOMOBILE MALEWICZ"</f>
        <v>RECUPERATION AUTOMOBILE MALEWICZ</v>
      </c>
      <c r="C2020" s="4">
        <v>349805101</v>
      </c>
      <c r="D2020" s="3" t="s">
        <v>0</v>
      </c>
      <c r="E2020" s="2" t="str">
        <f>"0006205613"</f>
        <v>0006205613</v>
      </c>
      <c r="F2020" s="5">
        <v>43293</v>
      </c>
      <c r="G2020" s="5">
        <v>54789</v>
      </c>
      <c r="H2020" s="4" t="str">
        <f>""</f>
        <v/>
      </c>
      <c r="I2020" s="4" t="str">
        <f>""</f>
        <v/>
      </c>
    </row>
    <row r="2021" spans="1:9" x14ac:dyDescent="0.3">
      <c r="A2021" s="1" t="str">
        <f>"57"</f>
        <v>57</v>
      </c>
      <c r="B2021" s="4" t="str">
        <f>"KASS'AUTO"</f>
        <v>KASS'AUTO</v>
      </c>
      <c r="C2021" s="4">
        <v>351192737</v>
      </c>
      <c r="D2021" s="3" t="s">
        <v>0</v>
      </c>
      <c r="E2021" s="2" t="str">
        <f>"PR5700038D"</f>
        <v>PR5700038D</v>
      </c>
      <c r="F2021" s="5">
        <v>43950</v>
      </c>
      <c r="G2021" s="5">
        <v>54789</v>
      </c>
      <c r="H2021" s="4" t="str">
        <f>""</f>
        <v/>
      </c>
      <c r="I2021" s="4" t="str">
        <f>""</f>
        <v/>
      </c>
    </row>
    <row r="2022" spans="1:9" x14ac:dyDescent="0.3">
      <c r="A2022" s="1" t="str">
        <f>"57"</f>
        <v>57</v>
      </c>
      <c r="B2022" s="4" t="str">
        <f>"KASS'AUTO"</f>
        <v>KASS'AUTO</v>
      </c>
      <c r="C2022" s="4">
        <v>351192737</v>
      </c>
      <c r="D2022" s="3" t="s">
        <v>0</v>
      </c>
      <c r="E2022" s="2" t="str">
        <f>"0006207847"</f>
        <v>0006207847</v>
      </c>
      <c r="F2022" s="5">
        <v>43950</v>
      </c>
      <c r="G2022" s="5">
        <v>54789</v>
      </c>
      <c r="H2022" s="4" t="str">
        <f>""</f>
        <v/>
      </c>
      <c r="I2022" s="4" t="str">
        <f>""</f>
        <v/>
      </c>
    </row>
    <row r="2023" spans="1:9" x14ac:dyDescent="0.3">
      <c r="A2023" s="1" t="str">
        <f>"57"</f>
        <v>57</v>
      </c>
      <c r="B2023" s="4" t="str">
        <f>"AUTO CORNY"</f>
        <v>AUTO CORNY</v>
      </c>
      <c r="C2023" s="4">
        <v>372801258</v>
      </c>
      <c r="D2023" s="3" t="s">
        <v>0</v>
      </c>
      <c r="E2023" s="2" t="str">
        <f>"PR5700003D"</f>
        <v>PR5700003D</v>
      </c>
      <c r="F2023" s="5">
        <v>43252</v>
      </c>
      <c r="G2023" s="5">
        <v>54789</v>
      </c>
      <c r="H2023" s="4" t="str">
        <f>""</f>
        <v/>
      </c>
      <c r="I2023" s="4" t="str">
        <f>""</f>
        <v/>
      </c>
    </row>
    <row r="2024" spans="1:9" x14ac:dyDescent="0.3">
      <c r="A2024" s="1" t="str">
        <f>"57"</f>
        <v>57</v>
      </c>
      <c r="B2024" s="4" t="str">
        <f>"AUTO CORNY"</f>
        <v>AUTO CORNY</v>
      </c>
      <c r="C2024" s="4">
        <v>372801258</v>
      </c>
      <c r="D2024" s="3" t="s">
        <v>0</v>
      </c>
      <c r="E2024" s="2" t="str">
        <f>"0006201093"</f>
        <v>0006201093</v>
      </c>
      <c r="F2024" s="5">
        <v>43252</v>
      </c>
      <c r="G2024" s="5">
        <v>54789</v>
      </c>
      <c r="H2024" s="4" t="str">
        <f>""</f>
        <v/>
      </c>
      <c r="I2024" s="4" t="str">
        <f>""</f>
        <v/>
      </c>
    </row>
    <row r="2025" spans="1:9" x14ac:dyDescent="0.3">
      <c r="A2025" s="1" t="str">
        <f>"57"</f>
        <v>57</v>
      </c>
      <c r="B2025" s="4" t="str">
        <f>"MONTOY POIDS LOURDS"</f>
        <v>MONTOY POIDS LOURDS</v>
      </c>
      <c r="C2025" s="4">
        <v>373800556</v>
      </c>
      <c r="D2025" s="3" t="s">
        <v>0</v>
      </c>
      <c r="E2025" s="2" t="str">
        <f>"PR5700037D"</f>
        <v>PR5700037D</v>
      </c>
      <c r="F2025" s="5">
        <v>41676</v>
      </c>
      <c r="G2025" s="5">
        <v>54789</v>
      </c>
      <c r="H2025" s="4" t="str">
        <f>""</f>
        <v/>
      </c>
      <c r="I2025" s="4" t="str">
        <f>""</f>
        <v/>
      </c>
    </row>
    <row r="2026" spans="1:9" x14ac:dyDescent="0.3">
      <c r="A2026" s="1" t="str">
        <f>"57"</f>
        <v>57</v>
      </c>
      <c r="B2026" s="4" t="str">
        <f>"DECONSTRA"</f>
        <v>DECONSTRA</v>
      </c>
      <c r="C2026" s="4">
        <v>389128653</v>
      </c>
      <c r="D2026" s="3" t="s">
        <v>0</v>
      </c>
      <c r="E2026" s="2" t="str">
        <f>"PR5700020D"</f>
        <v>PR5700020D</v>
      </c>
      <c r="F2026" s="5">
        <v>43243</v>
      </c>
      <c r="G2026" s="5">
        <v>54789</v>
      </c>
      <c r="H2026" s="4" t="str">
        <f>""</f>
        <v/>
      </c>
      <c r="I2026" s="4" t="str">
        <f>""</f>
        <v/>
      </c>
    </row>
    <row r="2027" spans="1:9" x14ac:dyDescent="0.3">
      <c r="A2027" s="1" t="str">
        <f>"57"</f>
        <v>57</v>
      </c>
      <c r="B2027" s="4" t="str">
        <f>"DECONSTRA"</f>
        <v>DECONSTRA</v>
      </c>
      <c r="C2027" s="4">
        <v>389128653</v>
      </c>
      <c r="D2027" s="3" t="s">
        <v>0</v>
      </c>
      <c r="E2027" s="2" t="str">
        <f>"0006201054"</f>
        <v>0006201054</v>
      </c>
      <c r="F2027" s="5">
        <v>43243</v>
      </c>
      <c r="G2027" s="5">
        <v>54789</v>
      </c>
      <c r="H2027" s="4" t="str">
        <f>""</f>
        <v/>
      </c>
      <c r="I2027" s="4" t="str">
        <f>""</f>
        <v/>
      </c>
    </row>
    <row r="2028" spans="1:9" x14ac:dyDescent="0.3">
      <c r="A2028" s="1" t="str">
        <f>"57"</f>
        <v>57</v>
      </c>
      <c r="B2028" s="4" t="str">
        <f>"WITTMANN"</f>
        <v>WITTMANN</v>
      </c>
      <c r="C2028" s="4">
        <v>390029585</v>
      </c>
      <c r="D2028" s="3" t="s">
        <v>0</v>
      </c>
      <c r="E2028" s="2" t="str">
        <f>"PR5700039D"</f>
        <v>PR5700039D</v>
      </c>
      <c r="F2028" s="5">
        <v>43235</v>
      </c>
      <c r="G2028" s="5">
        <v>54789</v>
      </c>
      <c r="H2028" s="4" t="str">
        <f>""</f>
        <v/>
      </c>
      <c r="I2028" s="4" t="str">
        <f>""</f>
        <v/>
      </c>
    </row>
    <row r="2029" spans="1:9" x14ac:dyDescent="0.3">
      <c r="A2029" s="1" t="str">
        <f>"57"</f>
        <v>57</v>
      </c>
      <c r="B2029" s="4" t="str">
        <f>"WITTMANN"</f>
        <v>WITTMANN</v>
      </c>
      <c r="C2029" s="4">
        <v>390029585</v>
      </c>
      <c r="D2029" s="3" t="s">
        <v>0</v>
      </c>
      <c r="E2029" s="2" t="str">
        <f>"0006208519"</f>
        <v>0006208519</v>
      </c>
      <c r="F2029" s="5">
        <v>43235</v>
      </c>
      <c r="G2029" s="5">
        <v>54789</v>
      </c>
      <c r="H2029" s="4" t="str">
        <f>""</f>
        <v/>
      </c>
      <c r="I2029" s="4" t="str">
        <f>""</f>
        <v/>
      </c>
    </row>
    <row r="2030" spans="1:9" x14ac:dyDescent="0.3">
      <c r="A2030" s="1" t="str">
        <f>"57"</f>
        <v>57</v>
      </c>
      <c r="B2030" s="4" t="str">
        <f>"AUTO FLORANGE"</f>
        <v>AUTO FLORANGE</v>
      </c>
      <c r="C2030" s="4">
        <v>391871688</v>
      </c>
      <c r="D2030" s="3" t="s">
        <v>0</v>
      </c>
      <c r="E2030" s="2" t="str">
        <f>"PR5700032D"</f>
        <v>PR5700032D</v>
      </c>
      <c r="F2030" s="5">
        <v>43666</v>
      </c>
      <c r="G2030" s="5">
        <v>54789</v>
      </c>
      <c r="H2030" s="4" t="str">
        <f>""</f>
        <v/>
      </c>
      <c r="I2030" s="4" t="str">
        <f>""</f>
        <v/>
      </c>
    </row>
    <row r="2031" spans="1:9" x14ac:dyDescent="0.3">
      <c r="A2031" s="1" t="str">
        <f>"57"</f>
        <v>57</v>
      </c>
      <c r="B2031" s="4" t="str">
        <f>"AUTO FLORANGE"</f>
        <v>AUTO FLORANGE</v>
      </c>
      <c r="C2031" s="4">
        <v>391871688</v>
      </c>
      <c r="D2031" s="3" t="s">
        <v>0</v>
      </c>
      <c r="E2031" s="2" t="str">
        <f>"0006201206"</f>
        <v>0006201206</v>
      </c>
      <c r="F2031" s="5">
        <v>43666</v>
      </c>
      <c r="G2031" s="5">
        <v>54789</v>
      </c>
      <c r="H2031" s="4" t="str">
        <f>""</f>
        <v/>
      </c>
      <c r="I2031" s="4" t="str">
        <f>""</f>
        <v/>
      </c>
    </row>
    <row r="2032" spans="1:9" x14ac:dyDescent="0.3">
      <c r="A2032" s="1" t="str">
        <f>"57"</f>
        <v>57</v>
      </c>
      <c r="B2032" s="4" t="str">
        <f>"BEBING AUTO"</f>
        <v>BEBING AUTO</v>
      </c>
      <c r="C2032" s="4">
        <v>399483981</v>
      </c>
      <c r="D2032" s="3" t="s">
        <v>0</v>
      </c>
      <c r="E2032" s="2" t="str">
        <f>"PR5700010D"</f>
        <v>PR5700010D</v>
      </c>
      <c r="F2032" s="5">
        <v>43512</v>
      </c>
      <c r="G2032" s="5">
        <v>54789</v>
      </c>
      <c r="H2032" s="4" t="str">
        <f>""</f>
        <v/>
      </c>
      <c r="I2032" s="4" t="str">
        <f>""</f>
        <v/>
      </c>
    </row>
    <row r="2033" spans="1:9" x14ac:dyDescent="0.3">
      <c r="A2033" s="1" t="str">
        <f>"57"</f>
        <v>57</v>
      </c>
      <c r="B2033" s="4" t="str">
        <f>"BEBING AUTO"</f>
        <v>BEBING AUTO</v>
      </c>
      <c r="C2033" s="4">
        <v>399483981</v>
      </c>
      <c r="D2033" s="3" t="s">
        <v>0</v>
      </c>
      <c r="E2033" s="2" t="str">
        <f>"0006207283"</f>
        <v>0006207283</v>
      </c>
      <c r="F2033" s="5">
        <v>43512</v>
      </c>
      <c r="G2033" s="5">
        <v>54789</v>
      </c>
      <c r="H2033" s="4" t="str">
        <f>""</f>
        <v/>
      </c>
      <c r="I2033" s="4" t="str">
        <f>""</f>
        <v/>
      </c>
    </row>
    <row r="2034" spans="1:9" x14ac:dyDescent="0.3">
      <c r="A2034" s="1" t="str">
        <f>"57"</f>
        <v>57</v>
      </c>
      <c r="B2034" s="4" t="str">
        <f>"TIOZZO"</f>
        <v>TIOZZO</v>
      </c>
      <c r="C2034" s="4">
        <v>408365799</v>
      </c>
      <c r="D2034" s="3" t="s">
        <v>0</v>
      </c>
      <c r="E2034" s="2" t="str">
        <f>"PR5700023D"</f>
        <v>PR5700023D</v>
      </c>
      <c r="F2034" s="5">
        <v>43270</v>
      </c>
      <c r="G2034" s="5">
        <v>54789</v>
      </c>
      <c r="H2034" s="4" t="str">
        <f>""</f>
        <v/>
      </c>
      <c r="I2034" s="4" t="str">
        <f>""</f>
        <v/>
      </c>
    </row>
    <row r="2035" spans="1:9" x14ac:dyDescent="0.3">
      <c r="A2035" s="1" t="str">
        <f>"57"</f>
        <v>57</v>
      </c>
      <c r="B2035" s="4" t="str">
        <f>"TIOZZO"</f>
        <v>TIOZZO</v>
      </c>
      <c r="C2035" s="4">
        <v>408365799</v>
      </c>
      <c r="D2035" s="3" t="s">
        <v>0</v>
      </c>
      <c r="E2035" s="2" t="str">
        <f>"0006201412"</f>
        <v>0006201412</v>
      </c>
      <c r="F2035" s="5">
        <v>43270</v>
      </c>
      <c r="G2035" s="5">
        <v>54789</v>
      </c>
      <c r="H2035" s="4" t="str">
        <f>""</f>
        <v/>
      </c>
      <c r="I2035" s="4" t="str">
        <f>""</f>
        <v/>
      </c>
    </row>
    <row r="2036" spans="1:9" x14ac:dyDescent="0.3">
      <c r="A2036" s="1" t="str">
        <f>"57"</f>
        <v>57</v>
      </c>
      <c r="B2036" s="4" t="str">
        <f>"RECUP AUTO RIES"</f>
        <v>RECUP AUTO RIES</v>
      </c>
      <c r="C2036" s="4">
        <v>417887528</v>
      </c>
      <c r="D2036" s="3" t="s">
        <v>0</v>
      </c>
      <c r="E2036" s="2" t="str">
        <f>"PR5700049D"</f>
        <v>PR5700049D</v>
      </c>
      <c r="F2036" s="5">
        <v>44656</v>
      </c>
      <c r="G2036" s="5">
        <v>54789</v>
      </c>
      <c r="H2036" s="4" t="str">
        <f>""</f>
        <v/>
      </c>
      <c r="I2036" s="4" t="str">
        <f>""</f>
        <v/>
      </c>
    </row>
    <row r="2037" spans="1:9" x14ac:dyDescent="0.3">
      <c r="A2037" s="1" t="str">
        <f>"57"</f>
        <v>57</v>
      </c>
      <c r="B2037" s="4" t="str">
        <f>"RECUP AUTO RIES"</f>
        <v>RECUP AUTO RIES</v>
      </c>
      <c r="C2037" s="4">
        <v>417887528</v>
      </c>
      <c r="D2037" s="3" t="s">
        <v>0</v>
      </c>
      <c r="E2037" s="2" t="str">
        <f>"0006201090"</f>
        <v>0006201090</v>
      </c>
      <c r="F2037" s="5">
        <v>44656</v>
      </c>
      <c r="G2037" s="5">
        <v>54789</v>
      </c>
      <c r="H2037" s="4" t="str">
        <f>""</f>
        <v/>
      </c>
      <c r="I2037" s="4" t="str">
        <f>""</f>
        <v/>
      </c>
    </row>
    <row r="2038" spans="1:9" x14ac:dyDescent="0.3">
      <c r="A2038" s="1" t="str">
        <f>"57"</f>
        <v>57</v>
      </c>
      <c r="B2038" s="4" t="str">
        <f>"MIR AUTOS"</f>
        <v>MIR AUTOS</v>
      </c>
      <c r="C2038" s="4">
        <v>418772638</v>
      </c>
      <c r="D2038" s="3" t="s">
        <v>0</v>
      </c>
      <c r="E2038" s="2" t="str">
        <f>"PR5700036D"</f>
        <v>PR5700036D</v>
      </c>
      <c r="F2038" s="5">
        <v>41712</v>
      </c>
      <c r="G2038" s="5">
        <v>54789</v>
      </c>
      <c r="H2038" s="4" t="str">
        <f>""</f>
        <v/>
      </c>
      <c r="I2038" s="4" t="str">
        <f>""</f>
        <v/>
      </c>
    </row>
    <row r="2039" spans="1:9" x14ac:dyDescent="0.3">
      <c r="A2039" s="1" t="str">
        <f>"57"</f>
        <v>57</v>
      </c>
      <c r="B2039" s="4" t="str">
        <f>"MIR AUTOS"</f>
        <v>MIR AUTOS</v>
      </c>
      <c r="C2039" s="4">
        <v>418772638</v>
      </c>
      <c r="D2039" s="3" t="s">
        <v>0</v>
      </c>
      <c r="E2039" s="2" t="str">
        <f>"0006206441"</f>
        <v>0006206441</v>
      </c>
      <c r="F2039" s="5">
        <v>41712</v>
      </c>
      <c r="G2039" s="5">
        <v>54789</v>
      </c>
      <c r="H2039" s="4" t="str">
        <f>""</f>
        <v/>
      </c>
      <c r="I2039" s="4" t="str">
        <f>""</f>
        <v/>
      </c>
    </row>
    <row r="2040" spans="1:9" x14ac:dyDescent="0.3">
      <c r="A2040" s="1" t="str">
        <f>"57"</f>
        <v>57</v>
      </c>
      <c r="B2040" s="4" t="str">
        <f>"CENTRAL AUTOS"</f>
        <v>CENTRAL AUTOS</v>
      </c>
      <c r="C2040" s="4">
        <v>419541602</v>
      </c>
      <c r="D2040" s="3" t="s">
        <v>0</v>
      </c>
      <c r="E2040" s="2" t="str">
        <f>"PR5700021D"</f>
        <v>PR5700021D</v>
      </c>
      <c r="F2040" s="5">
        <v>43539</v>
      </c>
      <c r="G2040" s="5">
        <v>54789</v>
      </c>
      <c r="H2040" s="4" t="str">
        <f>""</f>
        <v/>
      </c>
      <c r="I2040" s="4" t="str">
        <f>""</f>
        <v/>
      </c>
    </row>
    <row r="2041" spans="1:9" x14ac:dyDescent="0.3">
      <c r="A2041" s="1" t="str">
        <f>"57"</f>
        <v>57</v>
      </c>
      <c r="B2041" s="4" t="str">
        <f>"CENTRAL AUTOS"</f>
        <v>CENTRAL AUTOS</v>
      </c>
      <c r="C2041" s="4">
        <v>419541602</v>
      </c>
      <c r="D2041" s="3" t="s">
        <v>0</v>
      </c>
      <c r="E2041" s="2" t="str">
        <f>"0006201879"</f>
        <v>0006201879</v>
      </c>
      <c r="F2041" s="5">
        <v>43539</v>
      </c>
      <c r="G2041" s="5">
        <v>54789</v>
      </c>
      <c r="H2041" s="4" t="str">
        <f>""</f>
        <v/>
      </c>
      <c r="I2041" s="4" t="str">
        <f>""</f>
        <v/>
      </c>
    </row>
    <row r="2042" spans="1:9" x14ac:dyDescent="0.3">
      <c r="A2042" s="1" t="str">
        <f>"57"</f>
        <v>57</v>
      </c>
      <c r="B2042" s="4" t="str">
        <f>"1000 PIECES AUTO"</f>
        <v>1000 PIECES AUTO</v>
      </c>
      <c r="C2042" s="4">
        <v>421592858</v>
      </c>
      <c r="D2042" s="3" t="s">
        <v>0</v>
      </c>
      <c r="E2042" s="2" t="str">
        <f>"PR5700012D"</f>
        <v>PR5700012D</v>
      </c>
      <c r="F2042" s="5">
        <v>43298</v>
      </c>
      <c r="G2042" s="5">
        <v>54789</v>
      </c>
      <c r="H2042" s="4" t="str">
        <f>""</f>
        <v/>
      </c>
      <c r="I2042" s="4" t="str">
        <f>""</f>
        <v/>
      </c>
    </row>
    <row r="2043" spans="1:9" x14ac:dyDescent="0.3">
      <c r="A2043" s="1" t="str">
        <f>"57"</f>
        <v>57</v>
      </c>
      <c r="B2043" s="4" t="str">
        <f>"1000 PIECES AUTO"</f>
        <v>1000 PIECES AUTO</v>
      </c>
      <c r="C2043" s="4">
        <v>421592858</v>
      </c>
      <c r="D2043" s="3" t="s">
        <v>0</v>
      </c>
      <c r="E2043" s="2" t="str">
        <f>"0006206362"</f>
        <v>0006206362</v>
      </c>
      <c r="F2043" s="5">
        <v>43298</v>
      </c>
      <c r="G2043" s="5">
        <v>54789</v>
      </c>
      <c r="H2043" s="4" t="str">
        <f>""</f>
        <v/>
      </c>
      <c r="I2043" s="4" t="str">
        <f>""</f>
        <v/>
      </c>
    </row>
    <row r="2044" spans="1:9" x14ac:dyDescent="0.3">
      <c r="A2044" s="1" t="str">
        <f>"57"</f>
        <v>57</v>
      </c>
      <c r="B2044" s="4" t="str">
        <f>"SDRA57"</f>
        <v>SDRA57</v>
      </c>
      <c r="C2044" s="4">
        <v>423886969</v>
      </c>
      <c r="D2044" s="3" t="s">
        <v>0</v>
      </c>
      <c r="E2044" s="2" t="str">
        <f>"0006201209"</f>
        <v>0006201209</v>
      </c>
      <c r="F2044" s="5">
        <v>43283</v>
      </c>
      <c r="G2044" s="5">
        <v>54789</v>
      </c>
      <c r="H2044" s="4" t="str">
        <f>""</f>
        <v/>
      </c>
      <c r="I2044" s="4" t="str">
        <f>""</f>
        <v/>
      </c>
    </row>
    <row r="2045" spans="1:9" x14ac:dyDescent="0.3">
      <c r="A2045" s="1" t="str">
        <f>"57"</f>
        <v>57</v>
      </c>
      <c r="B2045" s="4" t="str">
        <f>"SDRA57"</f>
        <v>SDRA57</v>
      </c>
      <c r="C2045" s="4">
        <v>423886969</v>
      </c>
      <c r="D2045" s="3" t="s">
        <v>0</v>
      </c>
      <c r="E2045" s="2" t="str">
        <f>"PR5700019D"</f>
        <v>PR5700019D</v>
      </c>
      <c r="F2045" s="5">
        <v>43283</v>
      </c>
      <c r="G2045" s="5">
        <v>54789</v>
      </c>
      <c r="H2045" s="4" t="str">
        <f>""</f>
        <v/>
      </c>
      <c r="I2045" s="4" t="str">
        <f>""</f>
        <v/>
      </c>
    </row>
    <row r="2046" spans="1:9" x14ac:dyDescent="0.3">
      <c r="A2046" s="1" t="str">
        <f>"57"</f>
        <v>57</v>
      </c>
      <c r="B2046" s="4" t="str">
        <f>"MPO RECYCLING"</f>
        <v>MPO RECYCLING</v>
      </c>
      <c r="C2046" s="4">
        <v>488006313</v>
      </c>
      <c r="D2046" s="3" t="s">
        <v>0</v>
      </c>
      <c r="E2046" s="2" t="str">
        <f>"PR5700017D"</f>
        <v>PR5700017D</v>
      </c>
      <c r="F2046" s="5">
        <v>43242</v>
      </c>
      <c r="G2046" s="5">
        <v>54789</v>
      </c>
      <c r="H2046" s="4" t="str">
        <f>""</f>
        <v/>
      </c>
      <c r="I2046" s="4" t="str">
        <f>""</f>
        <v/>
      </c>
    </row>
    <row r="2047" spans="1:9" x14ac:dyDescent="0.3">
      <c r="A2047" s="1" t="str">
        <f>"57"</f>
        <v>57</v>
      </c>
      <c r="B2047" s="4" t="str">
        <f>"MPO RECYCLING"</f>
        <v>MPO RECYCLING</v>
      </c>
      <c r="C2047" s="4">
        <v>488006313</v>
      </c>
      <c r="D2047" s="3" t="s">
        <v>0</v>
      </c>
      <c r="E2047" s="2" t="str">
        <f>"0006201673"</f>
        <v>0006201673</v>
      </c>
      <c r="F2047" s="5">
        <v>43242</v>
      </c>
      <c r="G2047" s="5">
        <v>54789</v>
      </c>
      <c r="H2047" s="4" t="str">
        <f>""</f>
        <v/>
      </c>
      <c r="I2047" s="4" t="str">
        <f>""</f>
        <v/>
      </c>
    </row>
    <row r="2048" spans="1:9" x14ac:dyDescent="0.3">
      <c r="A2048" s="1" t="str">
        <f>"57"</f>
        <v>57</v>
      </c>
      <c r="B2048" s="4" t="str">
        <f>"AUTO YUTZ"</f>
        <v>AUTO YUTZ</v>
      </c>
      <c r="C2048" s="4">
        <v>490248861</v>
      </c>
      <c r="D2048" s="3" t="s">
        <v>0</v>
      </c>
      <c r="E2048" s="2" t="str">
        <f>"PR5700030D"</f>
        <v>PR5700030D</v>
      </c>
      <c r="F2048" s="5">
        <v>43462</v>
      </c>
      <c r="G2048" s="5">
        <v>54789</v>
      </c>
      <c r="H2048" s="4" t="str">
        <f>""</f>
        <v/>
      </c>
      <c r="I2048" s="4" t="str">
        <f>""</f>
        <v/>
      </c>
    </row>
    <row r="2049" spans="1:9" x14ac:dyDescent="0.3">
      <c r="A2049" s="1" t="str">
        <f>"57"</f>
        <v>57</v>
      </c>
      <c r="B2049" s="4" t="str">
        <f>"AUTO YUTZ"</f>
        <v>AUTO YUTZ</v>
      </c>
      <c r="C2049" s="4">
        <v>490248861</v>
      </c>
      <c r="D2049" s="3" t="s">
        <v>0</v>
      </c>
      <c r="E2049" s="2" t="str">
        <f>"0006207751"</f>
        <v>0006207751</v>
      </c>
      <c r="F2049" s="5">
        <v>43462</v>
      </c>
      <c r="G2049" s="5">
        <v>54789</v>
      </c>
      <c r="H2049" s="4" t="str">
        <f>""</f>
        <v/>
      </c>
      <c r="I2049" s="4" t="str">
        <f>""</f>
        <v/>
      </c>
    </row>
    <row r="2050" spans="1:9" x14ac:dyDescent="0.3">
      <c r="A2050" s="1" t="str">
        <f>"57"</f>
        <v>57</v>
      </c>
      <c r="B2050" s="4" t="str">
        <f>"CASSE AUTO NILVANGE"</f>
        <v>CASSE AUTO NILVANGE</v>
      </c>
      <c r="C2050" s="4">
        <v>493317721</v>
      </c>
      <c r="D2050" s="3" t="s">
        <v>0</v>
      </c>
      <c r="E2050" s="2" t="str">
        <f>"PR5700022D"</f>
        <v>PR5700022D</v>
      </c>
      <c r="F2050" s="5">
        <v>43129</v>
      </c>
      <c r="G2050" s="5">
        <v>54789</v>
      </c>
      <c r="H2050" s="4" t="str">
        <f>""</f>
        <v/>
      </c>
      <c r="I2050" s="4" t="str">
        <f>""</f>
        <v/>
      </c>
    </row>
    <row r="2051" spans="1:9" x14ac:dyDescent="0.3">
      <c r="A2051" s="1" t="str">
        <f>"57"</f>
        <v>57</v>
      </c>
      <c r="B2051" s="4" t="str">
        <f>"CASSE AUTO NILVANGE"</f>
        <v>CASSE AUTO NILVANGE</v>
      </c>
      <c r="C2051" s="4">
        <v>493317721</v>
      </c>
      <c r="D2051" s="3" t="s">
        <v>0</v>
      </c>
      <c r="E2051" s="2" t="str">
        <f>"0006201653"</f>
        <v>0006201653</v>
      </c>
      <c r="F2051" s="5">
        <v>43129</v>
      </c>
      <c r="G2051" s="5">
        <v>54789</v>
      </c>
      <c r="H2051" s="4" t="str">
        <f>""</f>
        <v/>
      </c>
      <c r="I2051" s="4" t="str">
        <f>""</f>
        <v/>
      </c>
    </row>
    <row r="2052" spans="1:9" x14ac:dyDescent="0.3">
      <c r="A2052" s="1" t="str">
        <f>"57"</f>
        <v>57</v>
      </c>
      <c r="B2052" s="4" t="str">
        <f>"SECIC"</f>
        <v>SECIC</v>
      </c>
      <c r="C2052" s="4">
        <v>503971814</v>
      </c>
      <c r="D2052" s="3" t="s">
        <v>0</v>
      </c>
      <c r="E2052" s="2" t="str">
        <f>"PR5700044D"</f>
        <v>PR5700044D</v>
      </c>
      <c r="F2052" s="5">
        <v>41921</v>
      </c>
      <c r="G2052" s="5">
        <v>54789</v>
      </c>
      <c r="H2052" s="4" t="str">
        <f>"SECIC"</f>
        <v>SECIC</v>
      </c>
      <c r="I2052" s="4" t="str">
        <f>"Ohran"</f>
        <v>Ohran</v>
      </c>
    </row>
    <row r="2053" spans="1:9" x14ac:dyDescent="0.3">
      <c r="A2053" s="1" t="str">
        <f>"57"</f>
        <v>57</v>
      </c>
      <c r="B2053" s="4" t="str">
        <f>"SECIC"</f>
        <v>SECIC</v>
      </c>
      <c r="C2053" s="4">
        <v>503971814</v>
      </c>
      <c r="D2053" s="3" t="s">
        <v>0</v>
      </c>
      <c r="E2053" s="2" t="str">
        <f>"0100217719"</f>
        <v>0100217719</v>
      </c>
      <c r="F2053" s="5">
        <v>41921</v>
      </c>
      <c r="G2053" s="5">
        <v>54789</v>
      </c>
      <c r="H2053" s="4" t="str">
        <f>"SECIC"</f>
        <v>SECIC</v>
      </c>
      <c r="I2053" s="4" t="str">
        <f>"Ohran"</f>
        <v>Ohran</v>
      </c>
    </row>
    <row r="2054" spans="1:9" x14ac:dyDescent="0.3">
      <c r="A2054" s="1" t="str">
        <f>"57"</f>
        <v>57</v>
      </c>
      <c r="B2054" s="4" t="str">
        <f>"WDA"</f>
        <v>WDA</v>
      </c>
      <c r="C2054" s="4">
        <v>514656768</v>
      </c>
      <c r="D2054" s="3" t="s">
        <v>0</v>
      </c>
      <c r="E2054" s="2" t="str">
        <f>"PR5700004D"</f>
        <v>PR5700004D</v>
      </c>
      <c r="F2054" s="5">
        <v>41050</v>
      </c>
      <c r="G2054" s="5">
        <v>54789</v>
      </c>
      <c r="H2054" s="4" t="str">
        <f>""</f>
        <v/>
      </c>
      <c r="I2054" s="4" t="str">
        <f>""</f>
        <v/>
      </c>
    </row>
    <row r="2055" spans="1:9" x14ac:dyDescent="0.3">
      <c r="A2055" s="1" t="str">
        <f>"57"</f>
        <v>57</v>
      </c>
      <c r="B2055" s="4" t="str">
        <f>"WDA"</f>
        <v>WDA</v>
      </c>
      <c r="C2055" s="4">
        <v>514656768</v>
      </c>
      <c r="D2055" s="3" t="s">
        <v>0</v>
      </c>
      <c r="E2055" s="2" t="str">
        <f>"006208753"</f>
        <v>006208753</v>
      </c>
      <c r="F2055" s="5">
        <v>41050</v>
      </c>
      <c r="G2055" s="5">
        <v>54789</v>
      </c>
      <c r="H2055" s="4" t="str">
        <f>""</f>
        <v/>
      </c>
      <c r="I2055" s="4" t="str">
        <f>""</f>
        <v/>
      </c>
    </row>
    <row r="2056" spans="1:9" x14ac:dyDescent="0.3">
      <c r="A2056" s="1" t="str">
        <f>"57"</f>
        <v>57</v>
      </c>
      <c r="B2056" s="4" t="str">
        <f>"WDA"</f>
        <v>WDA</v>
      </c>
      <c r="C2056" s="4">
        <v>514656768</v>
      </c>
      <c r="D2056" s="3" t="s">
        <v>0</v>
      </c>
      <c r="E2056" s="2" t="str">
        <f>"PR5700042D"</f>
        <v>PR5700042D</v>
      </c>
      <c r="F2056" s="5">
        <v>43229</v>
      </c>
      <c r="G2056" s="5">
        <v>54789</v>
      </c>
      <c r="H2056" s="4" t="str">
        <f>""</f>
        <v/>
      </c>
      <c r="I2056" s="4" t="str">
        <f>""</f>
        <v/>
      </c>
    </row>
    <row r="2057" spans="1:9" x14ac:dyDescent="0.3">
      <c r="A2057" s="1" t="str">
        <f>"57"</f>
        <v>57</v>
      </c>
      <c r="B2057" s="4" t="str">
        <f>"WDA"</f>
        <v>WDA</v>
      </c>
      <c r="C2057" s="4">
        <v>514656768</v>
      </c>
      <c r="D2057" s="3" t="s">
        <v>0</v>
      </c>
      <c r="E2057" s="2" t="str">
        <f>"0006208753"</f>
        <v>0006208753</v>
      </c>
      <c r="F2057" s="5">
        <v>43229</v>
      </c>
      <c r="G2057" s="5">
        <v>54789</v>
      </c>
      <c r="H2057" s="4" t="str">
        <f>""</f>
        <v/>
      </c>
      <c r="I2057" s="4" t="str">
        <f>""</f>
        <v/>
      </c>
    </row>
    <row r="2058" spans="1:9" x14ac:dyDescent="0.3">
      <c r="A2058" s="1" t="str">
        <f>"57"</f>
        <v>57</v>
      </c>
      <c r="B2058" s="4" t="str">
        <f>"ESKA"</f>
        <v>ESKA</v>
      </c>
      <c r="C2058" s="4">
        <v>558502811</v>
      </c>
      <c r="D2058" s="3" t="s">
        <v>0</v>
      </c>
      <c r="E2058" s="2" t="str">
        <f>"PR5700015D"</f>
        <v>PR5700015D</v>
      </c>
      <c r="F2058" s="5">
        <v>45673</v>
      </c>
      <c r="G2058" s="5">
        <v>54789</v>
      </c>
      <c r="H2058" s="4" t="str">
        <f>""</f>
        <v/>
      </c>
      <c r="I2058" s="4" t="str">
        <f>""</f>
        <v/>
      </c>
    </row>
    <row r="2059" spans="1:9" x14ac:dyDescent="0.3">
      <c r="A2059" s="1" t="str">
        <f>"57"</f>
        <v>57</v>
      </c>
      <c r="B2059" s="4" t="str">
        <f>"ESKA"</f>
        <v>ESKA</v>
      </c>
      <c r="C2059" s="4">
        <v>558502811</v>
      </c>
      <c r="D2059" s="3" t="s">
        <v>0</v>
      </c>
      <c r="E2059" s="2" t="str">
        <f>"0006201550"</f>
        <v>0006201550</v>
      </c>
      <c r="F2059" s="5">
        <v>45673</v>
      </c>
      <c r="G2059" s="5">
        <v>54789</v>
      </c>
      <c r="H2059" s="4" t="str">
        <f>""</f>
        <v/>
      </c>
      <c r="I2059" s="4" t="str">
        <f>""</f>
        <v/>
      </c>
    </row>
    <row r="2060" spans="1:9" x14ac:dyDescent="0.3">
      <c r="A2060" s="1" t="str">
        <f>"57"</f>
        <v>57</v>
      </c>
      <c r="B2060" s="4" t="str">
        <f>"ESKA"</f>
        <v>ESKA</v>
      </c>
      <c r="C2060" s="4">
        <v>558502811</v>
      </c>
      <c r="D2060" s="3" t="s">
        <v>0</v>
      </c>
      <c r="E2060" s="2" t="str">
        <f>"PR5700025D"</f>
        <v>PR5700025D</v>
      </c>
      <c r="F2060" s="5">
        <v>43481</v>
      </c>
      <c r="G2060" s="5">
        <v>54789</v>
      </c>
      <c r="H2060" s="4" t="str">
        <f>""</f>
        <v/>
      </c>
      <c r="I2060" s="4" t="str">
        <f>""</f>
        <v/>
      </c>
    </row>
    <row r="2061" spans="1:9" x14ac:dyDescent="0.3">
      <c r="A2061" s="1" t="str">
        <f>"57"</f>
        <v>57</v>
      </c>
      <c r="B2061" s="4" t="str">
        <f>"ESKA"</f>
        <v>ESKA</v>
      </c>
      <c r="C2061" s="4">
        <v>558502811</v>
      </c>
      <c r="D2061" s="3" t="s">
        <v>0</v>
      </c>
      <c r="E2061" s="2" t="str">
        <f>"0006201085"</f>
        <v>0006201085</v>
      </c>
      <c r="F2061" s="5">
        <v>43481</v>
      </c>
      <c r="G2061" s="5">
        <v>54789</v>
      </c>
      <c r="H2061" s="4" t="str">
        <f>""</f>
        <v/>
      </c>
      <c r="I2061" s="4" t="str">
        <f>""</f>
        <v/>
      </c>
    </row>
    <row r="2062" spans="1:9" x14ac:dyDescent="0.3">
      <c r="A2062" s="1" t="str">
        <f>"57"</f>
        <v>57</v>
      </c>
      <c r="B2062" s="4" t="str">
        <f>"ESKA"</f>
        <v>ESKA</v>
      </c>
      <c r="C2062" s="4">
        <v>558502811</v>
      </c>
      <c r="D2062" s="3" t="s">
        <v>0</v>
      </c>
      <c r="E2062" s="2" t="str">
        <f>"PR5700026D"</f>
        <v>PR5700026D</v>
      </c>
      <c r="F2062" s="5">
        <v>43481</v>
      </c>
      <c r="G2062" s="5">
        <v>54789</v>
      </c>
      <c r="H2062" s="4" t="str">
        <f>""</f>
        <v/>
      </c>
      <c r="I2062" s="4" t="str">
        <f>""</f>
        <v/>
      </c>
    </row>
    <row r="2063" spans="1:9" x14ac:dyDescent="0.3">
      <c r="A2063" s="1" t="str">
        <f>"57"</f>
        <v>57</v>
      </c>
      <c r="B2063" s="4" t="str">
        <f>"ESKA"</f>
        <v>ESKA</v>
      </c>
      <c r="C2063" s="4">
        <v>558502811</v>
      </c>
      <c r="D2063" s="3" t="s">
        <v>0</v>
      </c>
      <c r="E2063" s="2" t="str">
        <f>"0006206536"</f>
        <v>0006206536</v>
      </c>
      <c r="F2063" s="5">
        <v>43481</v>
      </c>
      <c r="G2063" s="5">
        <v>54789</v>
      </c>
      <c r="H2063" s="4" t="str">
        <f>""</f>
        <v/>
      </c>
      <c r="I2063" s="4" t="str">
        <f>""</f>
        <v/>
      </c>
    </row>
    <row r="2064" spans="1:9" x14ac:dyDescent="0.3">
      <c r="A2064" s="1" t="str">
        <f>"57"</f>
        <v>57</v>
      </c>
      <c r="B2064" s="4" t="str">
        <f>"ESKA"</f>
        <v>ESKA</v>
      </c>
      <c r="C2064" s="4">
        <v>558502811</v>
      </c>
      <c r="D2064" s="3" t="s">
        <v>0</v>
      </c>
      <c r="E2064" s="2" t="str">
        <f>"PR5700028D"</f>
        <v>PR5700028D</v>
      </c>
      <c r="F2064" s="5">
        <v>43446</v>
      </c>
      <c r="G2064" s="5">
        <v>54789</v>
      </c>
      <c r="H2064" s="4" t="str">
        <f>""</f>
        <v/>
      </c>
      <c r="I2064" s="4" t="str">
        <f>""</f>
        <v/>
      </c>
    </row>
    <row r="2065" spans="1:9" x14ac:dyDescent="0.3">
      <c r="A2065" s="1" t="str">
        <f>"57"</f>
        <v>57</v>
      </c>
      <c r="B2065" s="4" t="str">
        <f>"ESKA"</f>
        <v>ESKA</v>
      </c>
      <c r="C2065" s="4">
        <v>558502811</v>
      </c>
      <c r="D2065" s="3" t="s">
        <v>0</v>
      </c>
      <c r="E2065" s="2" t="str">
        <f>"0006205708"</f>
        <v>0006205708</v>
      </c>
      <c r="F2065" s="5">
        <v>43446</v>
      </c>
      <c r="G2065" s="5">
        <v>54789</v>
      </c>
      <c r="H2065" s="4" t="str">
        <f>""</f>
        <v/>
      </c>
      <c r="I2065" s="4" t="str">
        <f>""</f>
        <v/>
      </c>
    </row>
    <row r="2066" spans="1:9" x14ac:dyDescent="0.3">
      <c r="A2066" s="1" t="str">
        <f>"57"</f>
        <v>57</v>
      </c>
      <c r="B2066" s="4" t="str">
        <f>"ESKA"</f>
        <v>ESKA</v>
      </c>
      <c r="C2066" s="4">
        <v>562126797</v>
      </c>
      <c r="D2066" s="3" t="s">
        <v>0</v>
      </c>
      <c r="E2066" s="2" t="str">
        <f>"PR5700006D"</f>
        <v>PR5700006D</v>
      </c>
      <c r="F2066" s="5">
        <v>43227</v>
      </c>
      <c r="G2066" s="5">
        <v>54789</v>
      </c>
      <c r="H2066" s="4" t="str">
        <f>""</f>
        <v/>
      </c>
      <c r="I2066" s="4" t="str">
        <f>""</f>
        <v/>
      </c>
    </row>
    <row r="2067" spans="1:9" x14ac:dyDescent="0.3">
      <c r="A2067" s="1" t="str">
        <f>"57"</f>
        <v>57</v>
      </c>
      <c r="B2067" s="4" t="str">
        <f>"ESKA"</f>
        <v>ESKA</v>
      </c>
      <c r="C2067" s="4">
        <v>562126797</v>
      </c>
      <c r="D2067" s="3" t="s">
        <v>0</v>
      </c>
      <c r="E2067" s="2" t="str">
        <f>"0006201496"</f>
        <v>0006201496</v>
      </c>
      <c r="F2067" s="5">
        <v>43227</v>
      </c>
      <c r="G2067" s="5">
        <v>54789</v>
      </c>
      <c r="H2067" s="4" t="str">
        <f>""</f>
        <v/>
      </c>
      <c r="I2067" s="4" t="str">
        <f>""</f>
        <v/>
      </c>
    </row>
    <row r="2068" spans="1:9" x14ac:dyDescent="0.3">
      <c r="A2068" s="1" t="str">
        <f>"57"</f>
        <v>57</v>
      </c>
      <c r="B2068" s="4" t="str">
        <f>"ESKA"</f>
        <v>ESKA</v>
      </c>
      <c r="C2068" s="4">
        <v>562126797</v>
      </c>
      <c r="D2068" s="3" t="s">
        <v>0</v>
      </c>
      <c r="E2068" s="2" t="str">
        <f>"PR5700007D"</f>
        <v>PR5700007D</v>
      </c>
      <c r="F2068" s="5">
        <v>41033</v>
      </c>
      <c r="G2068" s="5">
        <v>54789</v>
      </c>
      <c r="H2068" s="4" t="str">
        <f>""</f>
        <v/>
      </c>
      <c r="I2068" s="4" t="str">
        <f>""</f>
        <v/>
      </c>
    </row>
    <row r="2069" spans="1:9" x14ac:dyDescent="0.3">
      <c r="A2069" s="1" t="str">
        <f>"57"</f>
        <v>57</v>
      </c>
      <c r="B2069" s="4" t="str">
        <f>"ESKA"</f>
        <v>ESKA</v>
      </c>
      <c r="C2069" s="4">
        <v>562126797</v>
      </c>
      <c r="D2069" s="3" t="s">
        <v>0</v>
      </c>
      <c r="E2069" s="2" t="str">
        <f>"0006205480"</f>
        <v>0006205480</v>
      </c>
      <c r="F2069" s="5">
        <v>41033</v>
      </c>
      <c r="G2069" s="5">
        <v>54789</v>
      </c>
      <c r="H2069" s="4" t="str">
        <f>""</f>
        <v/>
      </c>
      <c r="I2069" s="4" t="str">
        <f>""</f>
        <v/>
      </c>
    </row>
    <row r="2070" spans="1:9" x14ac:dyDescent="0.3">
      <c r="A2070" s="1" t="str">
        <f>"57"</f>
        <v>57</v>
      </c>
      <c r="B2070" s="4" t="str">
        <f>"LORRAINE FERS ET METAUX"</f>
        <v>LORRAINE FERS ET METAUX</v>
      </c>
      <c r="C2070" s="4">
        <v>656580370</v>
      </c>
      <c r="D2070" s="3" t="s">
        <v>0</v>
      </c>
      <c r="E2070" s="2" t="str">
        <f>"PR5700014D"</f>
        <v>PR5700014D</v>
      </c>
      <c r="F2070" s="5">
        <v>43662</v>
      </c>
      <c r="G2070" s="5">
        <v>54789</v>
      </c>
      <c r="H2070" s="4" t="str">
        <f>""</f>
        <v/>
      </c>
      <c r="I2070" s="4" t="str">
        <f>""</f>
        <v/>
      </c>
    </row>
    <row r="2071" spans="1:9" x14ac:dyDescent="0.3">
      <c r="A2071" s="1" t="str">
        <f>"57"</f>
        <v>57</v>
      </c>
      <c r="B2071" s="4" t="str">
        <f>"LORRAINE FERS ET METAUX"</f>
        <v>LORRAINE FERS ET METAUX</v>
      </c>
      <c r="C2071" s="4">
        <v>656580370</v>
      </c>
      <c r="D2071" s="3" t="s">
        <v>0</v>
      </c>
      <c r="E2071" s="2" t="str">
        <f>"0006201981"</f>
        <v>0006201981</v>
      </c>
      <c r="F2071" s="5">
        <v>43662</v>
      </c>
      <c r="G2071" s="5">
        <v>54789</v>
      </c>
      <c r="H2071" s="4" t="str">
        <f>""</f>
        <v/>
      </c>
      <c r="I2071" s="4" t="str">
        <f>""</f>
        <v/>
      </c>
    </row>
    <row r="2072" spans="1:9" x14ac:dyDescent="0.3">
      <c r="A2072" s="1" t="str">
        <f>"57"</f>
        <v>57</v>
      </c>
      <c r="B2072" s="4" t="str">
        <f>"MECANAUTO"</f>
        <v>MECANAUTO</v>
      </c>
      <c r="C2072" s="4">
        <v>780010088</v>
      </c>
      <c r="D2072" s="3" t="s">
        <v>0</v>
      </c>
      <c r="E2072" s="2" t="str">
        <f>"PR5700018D"</f>
        <v>PR5700018D</v>
      </c>
      <c r="F2072" s="5">
        <v>43294</v>
      </c>
      <c r="G2072" s="5">
        <v>54789</v>
      </c>
      <c r="H2072" s="4" t="str">
        <f>""</f>
        <v/>
      </c>
      <c r="I2072" s="4" t="str">
        <f>""</f>
        <v/>
      </c>
    </row>
    <row r="2073" spans="1:9" x14ac:dyDescent="0.3">
      <c r="A2073" s="1" t="str">
        <f>"57"</f>
        <v>57</v>
      </c>
      <c r="B2073" s="4" t="str">
        <f>"MECANAUTO"</f>
        <v>MECANAUTO</v>
      </c>
      <c r="C2073" s="4">
        <v>780010088</v>
      </c>
      <c r="D2073" s="3" t="s">
        <v>0</v>
      </c>
      <c r="E2073" s="2" t="str">
        <f>"0006201612"</f>
        <v>0006201612</v>
      </c>
      <c r="F2073" s="5">
        <v>43294</v>
      </c>
      <c r="G2073" s="5">
        <v>54789</v>
      </c>
      <c r="H2073" s="4" t="str">
        <f>""</f>
        <v/>
      </c>
      <c r="I2073" s="4" t="str">
        <f>""</f>
        <v/>
      </c>
    </row>
    <row r="2074" spans="1:9" x14ac:dyDescent="0.3">
      <c r="A2074" s="1" t="str">
        <f>"57"</f>
        <v>57</v>
      </c>
      <c r="B2074" s="4" t="str">
        <f>"BOUR"</f>
        <v>BOUR</v>
      </c>
      <c r="C2074" s="4">
        <v>787380484</v>
      </c>
      <c r="D2074" s="3" t="s">
        <v>0</v>
      </c>
      <c r="E2074" s="2" t="str">
        <f>"PR5700048D"</f>
        <v>PR5700048D</v>
      </c>
      <c r="F2074" s="5">
        <v>43859</v>
      </c>
      <c r="G2074" s="5">
        <v>54789</v>
      </c>
      <c r="H2074" s="4" t="str">
        <f>""</f>
        <v/>
      </c>
      <c r="I2074" s="4" t="str">
        <f>""</f>
        <v/>
      </c>
    </row>
    <row r="2075" spans="1:9" x14ac:dyDescent="0.3">
      <c r="A2075" s="1" t="str">
        <f>"57"</f>
        <v>57</v>
      </c>
      <c r="B2075" s="4" t="str">
        <f>"BOUR"</f>
        <v>BOUR</v>
      </c>
      <c r="C2075" s="4">
        <v>787380484</v>
      </c>
      <c r="D2075" s="3" t="s">
        <v>0</v>
      </c>
      <c r="E2075" s="2" t="str">
        <f>"0006201216"</f>
        <v>0006201216</v>
      </c>
      <c r="F2075" s="5">
        <v>43859</v>
      </c>
      <c r="G2075" s="5">
        <v>54789</v>
      </c>
      <c r="H2075" s="4" t="str">
        <f>""</f>
        <v/>
      </c>
      <c r="I2075" s="4" t="str">
        <f>""</f>
        <v/>
      </c>
    </row>
    <row r="2076" spans="1:9" x14ac:dyDescent="0.3">
      <c r="A2076" s="1" t="str">
        <f>"57"</f>
        <v>57</v>
      </c>
      <c r="B2076" s="4" t="str">
        <f>"ALTVILLER RECYCLAGE AUTO"</f>
        <v>ALTVILLER RECYCLAGE AUTO</v>
      </c>
      <c r="C2076" s="4">
        <v>797905619</v>
      </c>
      <c r="D2076" s="3" t="s">
        <v>0</v>
      </c>
      <c r="E2076" s="2" t="str">
        <f>"PR5700045D"</f>
        <v>PR5700045D</v>
      </c>
      <c r="F2076" s="5">
        <v>42472</v>
      </c>
      <c r="G2076" s="5">
        <v>54789</v>
      </c>
      <c r="H2076" s="4" t="str">
        <f>""</f>
        <v/>
      </c>
      <c r="I2076" s="4" t="str">
        <f>""</f>
        <v/>
      </c>
    </row>
    <row r="2077" spans="1:9" x14ac:dyDescent="0.3">
      <c r="A2077" s="1" t="str">
        <f>"57"</f>
        <v>57</v>
      </c>
      <c r="B2077" s="4" t="str">
        <f>"ALTVILLER RECYCLAGE AUTO"</f>
        <v>ALTVILLER RECYCLAGE AUTO</v>
      </c>
      <c r="C2077" s="4">
        <v>797905619</v>
      </c>
      <c r="D2077" s="3" t="s">
        <v>0</v>
      </c>
      <c r="E2077" s="2" t="str">
        <f>"0006200962"</f>
        <v>0006200962</v>
      </c>
      <c r="F2077" s="5">
        <v>42472</v>
      </c>
      <c r="G2077" s="5">
        <v>54789</v>
      </c>
      <c r="H2077" s="4" t="str">
        <f>""</f>
        <v/>
      </c>
      <c r="I2077" s="4" t="str">
        <f>""</f>
        <v/>
      </c>
    </row>
    <row r="2078" spans="1:9" x14ac:dyDescent="0.3">
      <c r="A2078" s="1" t="str">
        <f>"57"</f>
        <v>57</v>
      </c>
      <c r="B2078" s="4" t="str">
        <f>"ACCUEIL AUTO PIECES 57"</f>
        <v>ACCUEIL AUTO PIECES 57</v>
      </c>
      <c r="C2078" s="4">
        <v>811411214</v>
      </c>
      <c r="D2078" s="3" t="s">
        <v>0</v>
      </c>
      <c r="E2078" s="2" t="str">
        <f>"PR5700046D"</f>
        <v>PR5700046D</v>
      </c>
      <c r="F2078" s="5">
        <v>42531</v>
      </c>
      <c r="G2078" s="5">
        <v>54789</v>
      </c>
      <c r="H2078" s="4" t="str">
        <f>""</f>
        <v/>
      </c>
      <c r="I2078" s="4" t="str">
        <f>""</f>
        <v/>
      </c>
    </row>
    <row r="2079" spans="1:9" x14ac:dyDescent="0.3">
      <c r="A2079" s="1" t="str">
        <f>"57"</f>
        <v>57</v>
      </c>
      <c r="B2079" s="4" t="str">
        <f>"ACCUEIL AUTO PIECES 57"</f>
        <v>ACCUEIL AUTO PIECES 57</v>
      </c>
      <c r="C2079" s="4">
        <v>811411214</v>
      </c>
      <c r="D2079" s="3" t="s">
        <v>0</v>
      </c>
      <c r="E2079" s="2" t="str">
        <f>"0006205625"</f>
        <v>0006205625</v>
      </c>
      <c r="F2079" s="5">
        <v>42531</v>
      </c>
      <c r="G2079" s="5">
        <v>54789</v>
      </c>
      <c r="H2079" s="4" t="str">
        <f>""</f>
        <v/>
      </c>
      <c r="I2079" s="4" t="str">
        <f>""</f>
        <v/>
      </c>
    </row>
    <row r="2080" spans="1:9" x14ac:dyDescent="0.3">
      <c r="A2080" s="1" t="str">
        <f>"57"</f>
        <v>57</v>
      </c>
      <c r="B2080" s="4" t="str">
        <f>"CAR CRASH 57"</f>
        <v>CAR CRASH 57</v>
      </c>
      <c r="C2080" s="4">
        <v>824896450</v>
      </c>
      <c r="D2080" s="3" t="s">
        <v>0</v>
      </c>
      <c r="E2080" s="2" t="str">
        <f>"PR5700047D"</f>
        <v>PR5700047D</v>
      </c>
      <c r="F2080" s="5">
        <v>42843</v>
      </c>
      <c r="G2080" s="5">
        <v>54789</v>
      </c>
      <c r="H2080" s="4" t="str">
        <f>""</f>
        <v/>
      </c>
      <c r="I2080" s="4" t="str">
        <f>""</f>
        <v/>
      </c>
    </row>
    <row r="2081" spans="1:9" x14ac:dyDescent="0.3">
      <c r="A2081" s="1" t="str">
        <f>"57"</f>
        <v>57</v>
      </c>
      <c r="B2081" s="4" t="str">
        <f>"CAR CRASH 57"</f>
        <v>CAR CRASH 57</v>
      </c>
      <c r="C2081" s="4">
        <v>824896450</v>
      </c>
      <c r="D2081" s="3" t="s">
        <v>0</v>
      </c>
      <c r="E2081" s="2" t="str">
        <f>"0003012673"</f>
        <v>0003012673</v>
      </c>
      <c r="F2081" s="5">
        <v>42843</v>
      </c>
      <c r="G2081" s="5">
        <v>54789</v>
      </c>
      <c r="H2081" s="4" t="str">
        <f>""</f>
        <v/>
      </c>
      <c r="I2081" s="4" t="str">
        <f>""</f>
        <v/>
      </c>
    </row>
    <row r="2082" spans="1:9" x14ac:dyDescent="0.3">
      <c r="A2082" s="1" t="str">
        <f>"57"</f>
        <v>57</v>
      </c>
      <c r="B2082" s="4" t="str">
        <f>"TRENTETROIS"</f>
        <v>TRENTETROIS</v>
      </c>
      <c r="C2082" s="4">
        <v>918702531</v>
      </c>
      <c r="D2082" s="3" t="s">
        <v>0</v>
      </c>
      <c r="E2082" s="2" t="str">
        <f>"PR5700050D"</f>
        <v>PR5700050D</v>
      </c>
      <c r="F2082" s="5">
        <v>44938</v>
      </c>
      <c r="G2082" s="5">
        <v>54789</v>
      </c>
      <c r="H2082" s="4" t="str">
        <f>""</f>
        <v/>
      </c>
      <c r="I2082" s="4" t="str">
        <f>""</f>
        <v/>
      </c>
    </row>
    <row r="2083" spans="1:9" x14ac:dyDescent="0.3">
      <c r="A2083" s="1" t="str">
        <f>"57"</f>
        <v>57</v>
      </c>
      <c r="B2083" s="4" t="str">
        <f>"TRENTETROIS"</f>
        <v>TRENTETROIS</v>
      </c>
      <c r="C2083" s="4">
        <v>918702531</v>
      </c>
      <c r="D2083" s="3" t="s">
        <v>0</v>
      </c>
      <c r="E2083" s="2" t="str">
        <f>"0006200968"</f>
        <v>0006200968</v>
      </c>
      <c r="F2083" s="5">
        <v>44938</v>
      </c>
      <c r="G2083" s="5">
        <v>54789</v>
      </c>
      <c r="H2083" s="4" t="str">
        <f>""</f>
        <v/>
      </c>
      <c r="I2083" s="4" t="str">
        <f>""</f>
        <v/>
      </c>
    </row>
    <row r="2084" spans="1:9" x14ac:dyDescent="0.3">
      <c r="A2084" s="1" t="str">
        <f>"57"</f>
        <v>57</v>
      </c>
      <c r="B2084" s="4" t="str">
        <f>"TRENTETROIS"</f>
        <v>TRENTETROIS</v>
      </c>
      <c r="C2084" s="4">
        <v>918702531</v>
      </c>
      <c r="D2084" s="3" t="s">
        <v>0</v>
      </c>
      <c r="E2084" s="2" t="str">
        <f>"PR5700050B"</f>
        <v>PR5700050B</v>
      </c>
      <c r="F2084" s="5">
        <v>44938</v>
      </c>
      <c r="G2084" s="5">
        <v>54789</v>
      </c>
      <c r="H2084" s="4" t="str">
        <f>""</f>
        <v/>
      </c>
      <c r="I2084" s="4" t="str">
        <f>""</f>
        <v/>
      </c>
    </row>
    <row r="2085" spans="1:9" x14ac:dyDescent="0.3">
      <c r="A2085" s="1" t="str">
        <f>"57"</f>
        <v>57</v>
      </c>
      <c r="B2085" s="4" t="str">
        <f>"TRENTETROIS"</f>
        <v>TRENTETROIS</v>
      </c>
      <c r="C2085" s="4">
        <v>918702531</v>
      </c>
      <c r="D2085" s="3" t="s">
        <v>0</v>
      </c>
      <c r="E2085" s="2" t="str">
        <f>"0006200968"</f>
        <v>0006200968</v>
      </c>
      <c r="F2085" s="5">
        <v>44938</v>
      </c>
      <c r="G2085" s="5">
        <v>54789</v>
      </c>
      <c r="H2085" s="4" t="str">
        <f>""</f>
        <v/>
      </c>
      <c r="I2085" s="4" t="str">
        <f>""</f>
        <v/>
      </c>
    </row>
    <row r="2086" spans="1:9" x14ac:dyDescent="0.3">
      <c r="A2086" s="1" t="str">
        <f>"57"</f>
        <v>57</v>
      </c>
      <c r="B2086" s="4" t="str">
        <f>"BEHEM"</f>
        <v>BEHEM</v>
      </c>
      <c r="C2086" s="4">
        <v>981003270</v>
      </c>
      <c r="D2086" s="3" t="s">
        <v>0</v>
      </c>
      <c r="E2086" s="2" t="str">
        <f>"PR5700043D"</f>
        <v>PR5700043D</v>
      </c>
      <c r="F2086" s="5">
        <v>41663</v>
      </c>
      <c r="G2086" s="5">
        <v>54789</v>
      </c>
      <c r="H2086" s="4" t="str">
        <f>""</f>
        <v/>
      </c>
      <c r="I2086" s="4" t="str">
        <f>""</f>
        <v/>
      </c>
    </row>
    <row r="2087" spans="1:9" x14ac:dyDescent="0.3">
      <c r="A2087" s="1" t="str">
        <f>"57"</f>
        <v>57</v>
      </c>
      <c r="B2087" s="4" t="str">
        <f>"BEHEM"</f>
        <v>BEHEM</v>
      </c>
      <c r="C2087" s="4">
        <v>981003270</v>
      </c>
      <c r="D2087" s="3" t="s">
        <v>0</v>
      </c>
      <c r="E2087" s="2" t="str">
        <f>"0006201091"</f>
        <v>0006201091</v>
      </c>
      <c r="F2087" s="5">
        <v>41663</v>
      </c>
      <c r="G2087" s="5">
        <v>54789</v>
      </c>
      <c r="H2087" s="4" t="str">
        <f>""</f>
        <v/>
      </c>
      <c r="I2087" s="4" t="str">
        <f>""</f>
        <v/>
      </c>
    </row>
    <row r="2088" spans="1:9" x14ac:dyDescent="0.3">
      <c r="A2088" s="1" t="str">
        <f>"58"</f>
        <v>58</v>
      </c>
      <c r="B2088" s="4" t="str">
        <f>"SARL NEVERS PIECES OCCASIONS"</f>
        <v>SARL NEVERS PIECES OCCASIONS</v>
      </c>
      <c r="C2088" s="4">
        <v>410720197</v>
      </c>
      <c r="D2088" s="3" t="s">
        <v>0</v>
      </c>
      <c r="E2088" s="2" t="str">
        <f>"0025600029"</f>
        <v>0025600029</v>
      </c>
      <c r="F2088" s="5">
        <v>42143</v>
      </c>
      <c r="G2088" s="5">
        <v>54789</v>
      </c>
      <c r="H2088" s="4" t="str">
        <f>""</f>
        <v/>
      </c>
      <c r="I2088" s="4" t="str">
        <f>""</f>
        <v/>
      </c>
    </row>
    <row r="2089" spans="1:9" x14ac:dyDescent="0.3">
      <c r="A2089" s="1" t="str">
        <f>"58"</f>
        <v>58</v>
      </c>
      <c r="B2089" s="4" t="str">
        <f>"SARL NEVERS PIECES OCCASIONS"</f>
        <v>SARL NEVERS PIECES OCCASIONS</v>
      </c>
      <c r="C2089" s="4">
        <v>410720197</v>
      </c>
      <c r="D2089" s="3" t="s">
        <v>0</v>
      </c>
      <c r="E2089" s="2" t="str">
        <f>"PR5800006D"</f>
        <v>PR5800006D</v>
      </c>
      <c r="F2089" s="5">
        <v>42143</v>
      </c>
      <c r="G2089" s="5">
        <v>54789</v>
      </c>
      <c r="H2089" s="4" t="str">
        <f>""</f>
        <v/>
      </c>
      <c r="I2089" s="4" t="str">
        <f>""</f>
        <v/>
      </c>
    </row>
    <row r="2090" spans="1:9" x14ac:dyDescent="0.3">
      <c r="A2090" s="1" t="str">
        <f>"58"</f>
        <v>58</v>
      </c>
      <c r="B2090" s="4" t="str">
        <f>"RVDL"</f>
        <v>RVDL</v>
      </c>
      <c r="C2090" s="4">
        <v>529466658</v>
      </c>
      <c r="D2090" s="3" t="s">
        <v>0</v>
      </c>
      <c r="E2090" s="2" t="str">
        <f>"0003302640"</f>
        <v>0003302640</v>
      </c>
      <c r="F2090" s="5">
        <v>44124</v>
      </c>
      <c r="G2090" s="5">
        <v>54789</v>
      </c>
      <c r="H2090" s="4" t="str">
        <f>""</f>
        <v/>
      </c>
      <c r="I2090" s="4" t="str">
        <f>""</f>
        <v/>
      </c>
    </row>
    <row r="2091" spans="1:9" x14ac:dyDescent="0.3">
      <c r="A2091" s="1" t="str">
        <f>"58"</f>
        <v>58</v>
      </c>
      <c r="B2091" s="4" t="str">
        <f>"RVDL"</f>
        <v>RVDL</v>
      </c>
      <c r="C2091" s="4">
        <v>529466658</v>
      </c>
      <c r="D2091" s="3" t="s">
        <v>0</v>
      </c>
      <c r="E2091" s="2" t="str">
        <f>"PR5800008D"</f>
        <v>PR5800008D</v>
      </c>
      <c r="F2091" s="5">
        <v>44124</v>
      </c>
      <c r="G2091" s="5">
        <v>54789</v>
      </c>
      <c r="H2091" s="4" t="str">
        <f>""</f>
        <v/>
      </c>
      <c r="I2091" s="4" t="str">
        <f>""</f>
        <v/>
      </c>
    </row>
    <row r="2092" spans="1:9" x14ac:dyDescent="0.3">
      <c r="A2092" s="1" t="str">
        <f>"58"</f>
        <v>58</v>
      </c>
      <c r="B2092" s="4" t="str">
        <f>"SARL CASSE AUTO SERVICES"</f>
        <v>SARL CASSE AUTO SERVICES</v>
      </c>
      <c r="C2092" s="4">
        <v>531028207</v>
      </c>
      <c r="D2092" s="3" t="s">
        <v>0</v>
      </c>
      <c r="E2092" s="2" t="str">
        <f>"0025100057"</f>
        <v>0025100057</v>
      </c>
      <c r="F2092" s="5">
        <v>43650</v>
      </c>
      <c r="G2092" s="5">
        <v>54789</v>
      </c>
      <c r="H2092" s="4" t="str">
        <f>""</f>
        <v/>
      </c>
      <c r="I2092" s="4" t="str">
        <f>""</f>
        <v/>
      </c>
    </row>
    <row r="2093" spans="1:9" x14ac:dyDescent="0.3">
      <c r="A2093" s="1" t="str">
        <f>"58"</f>
        <v>58</v>
      </c>
      <c r="B2093" s="4" t="str">
        <f>"SARL CASSE AUTO SERVICES"</f>
        <v>SARL CASSE AUTO SERVICES</v>
      </c>
      <c r="C2093" s="4">
        <v>531028207</v>
      </c>
      <c r="D2093" s="3" t="s">
        <v>0</v>
      </c>
      <c r="E2093" s="2" t="str">
        <f>"PR5800003D"</f>
        <v>PR5800003D</v>
      </c>
      <c r="F2093" s="5">
        <v>43650</v>
      </c>
      <c r="G2093" s="5">
        <v>54789</v>
      </c>
      <c r="H2093" s="4" t="str">
        <f>""</f>
        <v/>
      </c>
      <c r="I2093" s="4" t="str">
        <f>""</f>
        <v/>
      </c>
    </row>
    <row r="2094" spans="1:9" x14ac:dyDescent="0.3">
      <c r="A2094" s="1" t="str">
        <f>"58"</f>
        <v>58</v>
      </c>
      <c r="B2094" s="4" t="str">
        <f>"CASSE AUTO SERVICES"</f>
        <v>CASSE AUTO SERVICES</v>
      </c>
      <c r="C2094" s="4">
        <v>531028207</v>
      </c>
      <c r="D2094" s="3" t="s">
        <v>0</v>
      </c>
      <c r="E2094" s="2" t="str">
        <f>"PR5800005D"</f>
        <v>PR5800005D</v>
      </c>
      <c r="F2094" s="5">
        <v>41471</v>
      </c>
      <c r="G2094" s="5">
        <v>54789</v>
      </c>
      <c r="H2094" s="4" t="str">
        <f>""</f>
        <v/>
      </c>
      <c r="I2094" s="4" t="str">
        <f>""</f>
        <v/>
      </c>
    </row>
    <row r="2095" spans="1:9" x14ac:dyDescent="0.3">
      <c r="A2095" s="1" t="str">
        <f>"58"</f>
        <v>58</v>
      </c>
      <c r="B2095" s="4" t="str">
        <f>"ASTRA RECYCLAGE"</f>
        <v>ASTRA RECYCLAGE</v>
      </c>
      <c r="C2095" s="4">
        <v>828951574</v>
      </c>
      <c r="D2095" s="3" t="s">
        <v>0</v>
      </c>
      <c r="E2095" s="2" t="str">
        <f>"0025100036"</f>
        <v>0025100036</v>
      </c>
      <c r="F2095" s="5">
        <v>43262</v>
      </c>
      <c r="G2095" s="5">
        <v>54789</v>
      </c>
      <c r="H2095" s="4" t="str">
        <f>""</f>
        <v/>
      </c>
      <c r="I2095" s="4" t="str">
        <f>""</f>
        <v/>
      </c>
    </row>
    <row r="2096" spans="1:9" x14ac:dyDescent="0.3">
      <c r="A2096" s="1" t="str">
        <f>"58"</f>
        <v>58</v>
      </c>
      <c r="B2096" s="4" t="str">
        <f>"ASTRA RECYCLAGE"</f>
        <v>ASTRA RECYCLAGE</v>
      </c>
      <c r="C2096" s="4">
        <v>828951574</v>
      </c>
      <c r="D2096" s="3" t="s">
        <v>0</v>
      </c>
      <c r="E2096" s="2" t="str">
        <f>"PR5800007D"</f>
        <v>PR5800007D</v>
      </c>
      <c r="F2096" s="5">
        <v>43262</v>
      </c>
      <c r="G2096" s="5">
        <v>54789</v>
      </c>
      <c r="H2096" s="4" t="str">
        <f>""</f>
        <v/>
      </c>
      <c r="I2096" s="4" t="str">
        <f>""</f>
        <v/>
      </c>
    </row>
    <row r="2097" spans="1:9" x14ac:dyDescent="0.3">
      <c r="A2097" s="1" t="str">
        <f>"58"</f>
        <v>58</v>
      </c>
      <c r="B2097" s="4" t="str">
        <f>"SARL AUTO PIECES 58"</f>
        <v>SARL AUTO PIECES 58</v>
      </c>
      <c r="C2097" s="4">
        <v>904274206</v>
      </c>
      <c r="D2097" s="3" t="s">
        <v>0</v>
      </c>
      <c r="E2097" s="2" t="str">
        <f>"0005401669"</f>
        <v>0005401669</v>
      </c>
      <c r="F2097" s="5">
        <v>38869</v>
      </c>
      <c r="G2097" s="5">
        <v>54789</v>
      </c>
      <c r="H2097" s="4" t="str">
        <f>""</f>
        <v/>
      </c>
      <c r="I2097" s="4" t="str">
        <f>""</f>
        <v/>
      </c>
    </row>
    <row r="2098" spans="1:9" x14ac:dyDescent="0.3">
      <c r="A2098" s="1" t="str">
        <f>"58"</f>
        <v>58</v>
      </c>
      <c r="B2098" s="4" t="str">
        <f>"SARL AUTO PIECES 58"</f>
        <v>SARL AUTO PIECES 58</v>
      </c>
      <c r="C2098" s="4">
        <v>904274206</v>
      </c>
      <c r="D2098" s="3" t="s">
        <v>0</v>
      </c>
      <c r="E2098" s="2" t="str">
        <f>"PR5800002D"</f>
        <v>PR5800002D</v>
      </c>
      <c r="F2098" s="5">
        <v>38869</v>
      </c>
      <c r="G2098" s="5">
        <v>54789</v>
      </c>
      <c r="H2098" s="4" t="str">
        <f>""</f>
        <v/>
      </c>
      <c r="I2098" s="4" t="str">
        <f>""</f>
        <v/>
      </c>
    </row>
    <row r="2099" spans="1:9" x14ac:dyDescent="0.3">
      <c r="A2099" s="1" t="str">
        <f>"58"</f>
        <v>58</v>
      </c>
      <c r="B2099" s="4" t="str">
        <f>"CRL OCCITANIE"</f>
        <v>CRL OCCITANIE</v>
      </c>
      <c r="C2099" s="4">
        <v>920865409</v>
      </c>
      <c r="D2099" s="3" t="s">
        <v>0</v>
      </c>
      <c r="E2099" s="2" t="str">
        <f>"PR3100017D"</f>
        <v>PR3100017D</v>
      </c>
      <c r="F2099" s="5">
        <v>44979</v>
      </c>
      <c r="G2099" s="5">
        <v>54789</v>
      </c>
      <c r="H2099" s="4" t="str">
        <f>""</f>
        <v/>
      </c>
      <c r="I2099" s="4" t="str">
        <f>""</f>
        <v/>
      </c>
    </row>
    <row r="2100" spans="1:9" x14ac:dyDescent="0.3">
      <c r="A2100" s="1" t="str">
        <f>"59"</f>
        <v>59</v>
      </c>
      <c r="B2100" s="4" t="str">
        <f>"ETS LE FLOHIC"</f>
        <v>ETS LE FLOHIC</v>
      </c>
      <c r="C2100" s="4">
        <v>312695489</v>
      </c>
      <c r="D2100" s="3" t="s">
        <v>0</v>
      </c>
      <c r="E2100" s="2" t="str">
        <f>"0007004371"</f>
        <v>0007004371</v>
      </c>
      <c r="F2100" s="5">
        <v>43424</v>
      </c>
      <c r="G2100" s="5">
        <v>54789</v>
      </c>
      <c r="H2100" s="4" t="str">
        <f>""</f>
        <v/>
      </c>
      <c r="I2100" s="4" t="str">
        <f>""</f>
        <v/>
      </c>
    </row>
    <row r="2101" spans="1:9" x14ac:dyDescent="0.3">
      <c r="A2101" s="1" t="str">
        <f>"59"</f>
        <v>59</v>
      </c>
      <c r="B2101" s="4" t="str">
        <f>"ETS LE FLOHIC"</f>
        <v>ETS LE FLOHIC</v>
      </c>
      <c r="C2101" s="4">
        <v>312695489</v>
      </c>
      <c r="D2101" s="3" t="s">
        <v>0</v>
      </c>
      <c r="E2101" s="2" t="str">
        <f>"PR5900014D"</f>
        <v>PR5900014D</v>
      </c>
      <c r="F2101" s="5">
        <v>43424</v>
      </c>
      <c r="G2101" s="5">
        <v>54789</v>
      </c>
      <c r="H2101" s="4" t="str">
        <f>""</f>
        <v/>
      </c>
      <c r="I2101" s="4" t="str">
        <f>""</f>
        <v/>
      </c>
    </row>
    <row r="2102" spans="1:9" x14ac:dyDescent="0.3">
      <c r="A2102" s="1" t="str">
        <f>"59"</f>
        <v>59</v>
      </c>
      <c r="B2102" s="4" t="str">
        <f>"SARL EPAV'AUTO"</f>
        <v>SARL EPAV'AUTO</v>
      </c>
      <c r="C2102" s="4">
        <v>330386509</v>
      </c>
      <c r="D2102" s="3" t="s">
        <v>0</v>
      </c>
      <c r="E2102" s="2" t="str">
        <f>"PR5900031D"</f>
        <v>PR5900031D</v>
      </c>
      <c r="F2102" s="5">
        <v>41227</v>
      </c>
      <c r="G2102" s="5">
        <v>54789</v>
      </c>
      <c r="H2102" s="4" t="str">
        <f>""</f>
        <v/>
      </c>
      <c r="I2102" s="4" t="str">
        <f>""</f>
        <v/>
      </c>
    </row>
    <row r="2103" spans="1:9" x14ac:dyDescent="0.3">
      <c r="A2103" s="1" t="str">
        <f>"59"</f>
        <v>59</v>
      </c>
      <c r="B2103" s="4" t="str">
        <f>"SARL EPAV'AUTO"</f>
        <v>SARL EPAV'AUTO</v>
      </c>
      <c r="C2103" s="4">
        <v>330386509</v>
      </c>
      <c r="D2103" s="3" t="s">
        <v>0</v>
      </c>
      <c r="E2103" s="2" t="str">
        <f>"0007004298"</f>
        <v>0007004298</v>
      </c>
      <c r="F2103" s="5">
        <v>43330</v>
      </c>
      <c r="G2103" s="5">
        <v>54789</v>
      </c>
      <c r="H2103" s="4" t="str">
        <f>""</f>
        <v/>
      </c>
      <c r="I2103" s="4" t="str">
        <f>""</f>
        <v/>
      </c>
    </row>
    <row r="2104" spans="1:9" x14ac:dyDescent="0.3">
      <c r="A2104" s="1" t="str">
        <f>"59"</f>
        <v>59</v>
      </c>
      <c r="B2104" s="4" t="str">
        <f>"SOCIETE CORNELIO"</f>
        <v>SOCIETE CORNELIO</v>
      </c>
      <c r="C2104" s="4">
        <v>335259511</v>
      </c>
      <c r="D2104" s="3" t="s">
        <v>0</v>
      </c>
      <c r="E2104" s="2" t="str">
        <f>"PR5900046D"</f>
        <v>PR5900046D</v>
      </c>
      <c r="F2104" s="5">
        <v>42251</v>
      </c>
      <c r="G2104" s="5">
        <v>54789</v>
      </c>
      <c r="H2104" s="4" t="str">
        <f>""</f>
        <v/>
      </c>
      <c r="I2104" s="4" t="str">
        <f>""</f>
        <v/>
      </c>
    </row>
    <row r="2105" spans="1:9" x14ac:dyDescent="0.3">
      <c r="A2105" s="1" t="str">
        <f>"59"</f>
        <v>59</v>
      </c>
      <c r="B2105" s="4" t="str">
        <f>"SOCIETE CORNELIO"</f>
        <v>SOCIETE CORNELIO</v>
      </c>
      <c r="C2105" s="4">
        <v>335259511</v>
      </c>
      <c r="D2105" s="3" t="s">
        <v>0</v>
      </c>
      <c r="E2105" s="2" t="str">
        <f>"0007004004"</f>
        <v>0007004004</v>
      </c>
      <c r="F2105" s="5">
        <v>42251</v>
      </c>
      <c r="G2105" s="5">
        <v>54789</v>
      </c>
      <c r="H2105" s="4" t="str">
        <f>""</f>
        <v/>
      </c>
      <c r="I2105" s="4" t="str">
        <f>""</f>
        <v/>
      </c>
    </row>
    <row r="2106" spans="1:9" x14ac:dyDescent="0.3">
      <c r="A2106" s="1" t="str">
        <f>"59"</f>
        <v>59</v>
      </c>
      <c r="B2106" s="4" t="str">
        <f>"SARL AUTO 2000"</f>
        <v>SARL AUTO 2000</v>
      </c>
      <c r="C2106" s="4">
        <v>342463494</v>
      </c>
      <c r="D2106" s="3" t="s">
        <v>0</v>
      </c>
      <c r="E2106" s="2" t="str">
        <f>"0007004033"</f>
        <v>0007004033</v>
      </c>
      <c r="F2106" s="5">
        <v>42073</v>
      </c>
      <c r="G2106" s="5">
        <v>54789</v>
      </c>
      <c r="H2106" s="4" t="str">
        <f>""</f>
        <v/>
      </c>
      <c r="I2106" s="4" t="str">
        <f>""</f>
        <v/>
      </c>
    </row>
    <row r="2107" spans="1:9" x14ac:dyDescent="0.3">
      <c r="A2107" s="1" t="str">
        <f>"59"</f>
        <v>59</v>
      </c>
      <c r="B2107" s="4" t="str">
        <f>"SARL AUTO 2000"</f>
        <v>SARL AUTO 2000</v>
      </c>
      <c r="C2107" s="4">
        <v>342463494</v>
      </c>
      <c r="D2107" s="3" t="s">
        <v>0</v>
      </c>
      <c r="E2107" s="2" t="str">
        <f>"PR5900002D"</f>
        <v>PR5900002D</v>
      </c>
      <c r="F2107" s="5">
        <v>42073</v>
      </c>
      <c r="G2107" s="5">
        <v>54789</v>
      </c>
      <c r="H2107" s="4" t="str">
        <f>""</f>
        <v/>
      </c>
      <c r="I2107" s="4" t="str">
        <f>""</f>
        <v/>
      </c>
    </row>
    <row r="2108" spans="1:9" x14ac:dyDescent="0.3">
      <c r="A2108" s="1" t="str">
        <f>"59"</f>
        <v>59</v>
      </c>
      <c r="B2108" s="4" t="str">
        <f>"RECUPERATION DU NORD"</f>
        <v>RECUPERATION DU NORD</v>
      </c>
      <c r="C2108" s="4">
        <v>342922648</v>
      </c>
      <c r="D2108" s="3" t="s">
        <v>0</v>
      </c>
      <c r="E2108" s="2" t="str">
        <f>"PR5900041D"</f>
        <v>PR5900041D</v>
      </c>
      <c r="F2108" s="5">
        <v>39534</v>
      </c>
      <c r="G2108" s="5">
        <v>54789</v>
      </c>
      <c r="H2108" s="4" t="str">
        <f>""</f>
        <v/>
      </c>
      <c r="I2108" s="4" t="str">
        <f>""</f>
        <v/>
      </c>
    </row>
    <row r="2109" spans="1:9" x14ac:dyDescent="0.3">
      <c r="A2109" s="1" t="str">
        <f>"59"</f>
        <v>59</v>
      </c>
      <c r="B2109" s="4" t="str">
        <f>"RECUPERATION DU NORD"</f>
        <v>RECUPERATION DU NORD</v>
      </c>
      <c r="C2109" s="4">
        <v>342922648</v>
      </c>
      <c r="D2109" s="3" t="s">
        <v>0</v>
      </c>
      <c r="E2109" s="2" t="str">
        <f>"PR5900083D"</f>
        <v>PR5900083D</v>
      </c>
      <c r="F2109" s="5">
        <v>43145</v>
      </c>
      <c r="G2109" s="5">
        <v>54789</v>
      </c>
      <c r="H2109" s="4" t="str">
        <f>""</f>
        <v/>
      </c>
      <c r="I2109" s="4" t="str">
        <f>""</f>
        <v/>
      </c>
    </row>
    <row r="2110" spans="1:9" x14ac:dyDescent="0.3">
      <c r="A2110" s="1" t="str">
        <f>"59"</f>
        <v>59</v>
      </c>
      <c r="B2110" s="4" t="str">
        <f>"RECUPERATION DU NORD"</f>
        <v>RECUPERATION DU NORD</v>
      </c>
      <c r="C2110" s="4">
        <v>342922648</v>
      </c>
      <c r="D2110" s="3" t="s">
        <v>0</v>
      </c>
      <c r="E2110" s="2" t="str">
        <f>"0007004260"</f>
        <v>0007004260</v>
      </c>
      <c r="F2110" s="5">
        <v>39534</v>
      </c>
      <c r="G2110" s="5">
        <v>54789</v>
      </c>
      <c r="H2110" s="4" t="str">
        <f>""</f>
        <v/>
      </c>
      <c r="I2110" s="4" t="str">
        <f>""</f>
        <v/>
      </c>
    </row>
    <row r="2111" spans="1:9" x14ac:dyDescent="0.3">
      <c r="A2111" s="1" t="str">
        <f>"59"</f>
        <v>59</v>
      </c>
      <c r="B2111" s="4" t="str">
        <f>"SARL DESMAZIERES"</f>
        <v>SARL DESMAZIERES</v>
      </c>
      <c r="C2111" s="4">
        <v>348127044</v>
      </c>
      <c r="D2111" s="3" t="s">
        <v>0</v>
      </c>
      <c r="E2111" s="2" t="str">
        <f>"PR5900047D"</f>
        <v>PR5900047D</v>
      </c>
      <c r="F2111" s="5">
        <v>42118</v>
      </c>
      <c r="G2111" s="5">
        <v>54789</v>
      </c>
      <c r="H2111" s="4" t="str">
        <f>""</f>
        <v/>
      </c>
      <c r="I2111" s="4" t="str">
        <f>""</f>
        <v/>
      </c>
    </row>
    <row r="2112" spans="1:9" x14ac:dyDescent="0.3">
      <c r="A2112" s="1" t="str">
        <f>"59"</f>
        <v>59</v>
      </c>
      <c r="B2112" s="4" t="str">
        <f>"SARL DESMAZIERES"</f>
        <v>SARL DESMAZIERES</v>
      </c>
      <c r="C2112" s="4">
        <v>348127044</v>
      </c>
      <c r="D2112" s="3" t="s">
        <v>0</v>
      </c>
      <c r="E2112" s="2" t="str">
        <f>"0007004036"</f>
        <v>0007004036</v>
      </c>
      <c r="F2112" s="5">
        <v>42118</v>
      </c>
      <c r="G2112" s="5">
        <v>54789</v>
      </c>
      <c r="H2112" s="4" t="str">
        <f>""</f>
        <v/>
      </c>
      <c r="I2112" s="4" t="str">
        <f>""</f>
        <v/>
      </c>
    </row>
    <row r="2113" spans="1:9" x14ac:dyDescent="0.3">
      <c r="A2113" s="1" t="str">
        <f>"59"</f>
        <v>59</v>
      </c>
      <c r="B2113" s="4" t="str">
        <f>"PIECES AUTO WATTEL"</f>
        <v>PIECES AUTO WATTEL</v>
      </c>
      <c r="C2113" s="4">
        <v>353627862</v>
      </c>
      <c r="D2113" s="3" t="s">
        <v>0</v>
      </c>
      <c r="E2113" s="2" t="str">
        <f>"PR5900027D"</f>
        <v>PR5900027D</v>
      </c>
      <c r="F2113" s="5">
        <v>43426</v>
      </c>
      <c r="G2113" s="5">
        <v>54789</v>
      </c>
      <c r="H2113" s="4" t="str">
        <f>""</f>
        <v/>
      </c>
      <c r="I2113" s="4" t="str">
        <f>""</f>
        <v/>
      </c>
    </row>
    <row r="2114" spans="1:9" x14ac:dyDescent="0.3">
      <c r="A2114" s="1" t="str">
        <f>"59"</f>
        <v>59</v>
      </c>
      <c r="B2114" s="4" t="str">
        <f>"PIECES AUTO WATTEL"</f>
        <v>PIECES AUTO WATTEL</v>
      </c>
      <c r="C2114" s="4">
        <v>353627862</v>
      </c>
      <c r="D2114" s="3" t="s">
        <v>0</v>
      </c>
      <c r="E2114" s="2" t="str">
        <f>"0007004039"</f>
        <v>0007004039</v>
      </c>
      <c r="F2114" s="5">
        <v>43426</v>
      </c>
      <c r="G2114" s="5">
        <v>54789</v>
      </c>
      <c r="H2114" s="4" t="str">
        <f>""</f>
        <v/>
      </c>
      <c r="I2114" s="4" t="str">
        <f>""</f>
        <v/>
      </c>
    </row>
    <row r="2115" spans="1:9" x14ac:dyDescent="0.3">
      <c r="A2115" s="1" t="str">
        <f>"59"</f>
        <v>59</v>
      </c>
      <c r="B2115" s="4" t="str">
        <f>"SOCIETE GOSSELIN DURIEZ"</f>
        <v>SOCIETE GOSSELIN DURIEZ</v>
      </c>
      <c r="C2115" s="4">
        <v>353818837</v>
      </c>
      <c r="D2115" s="3" t="s">
        <v>0</v>
      </c>
      <c r="E2115" s="2" t="str">
        <f>"PR5900039D"</f>
        <v>PR5900039D</v>
      </c>
      <c r="F2115" s="5">
        <v>43948</v>
      </c>
      <c r="G2115" s="5">
        <v>54789</v>
      </c>
      <c r="H2115" s="4" t="str">
        <f>""</f>
        <v/>
      </c>
      <c r="I2115" s="4" t="str">
        <f>""</f>
        <v/>
      </c>
    </row>
    <row r="2116" spans="1:9" x14ac:dyDescent="0.3">
      <c r="A2116" s="1" t="str">
        <f>"59"</f>
        <v>59</v>
      </c>
      <c r="B2116" s="4" t="str">
        <f>"SOCIETE GOSSELIN DURIEZ"</f>
        <v>SOCIETE GOSSELIN DURIEZ</v>
      </c>
      <c r="C2116" s="4">
        <v>353818837</v>
      </c>
      <c r="D2116" s="3" t="s">
        <v>0</v>
      </c>
      <c r="E2116" s="2" t="str">
        <f>"0007004367"</f>
        <v>0007004367</v>
      </c>
      <c r="F2116" s="5">
        <v>43948</v>
      </c>
      <c r="G2116" s="5">
        <v>54789</v>
      </c>
      <c r="H2116" s="4" t="str">
        <f>""</f>
        <v/>
      </c>
      <c r="I2116" s="4" t="str">
        <f>""</f>
        <v/>
      </c>
    </row>
    <row r="2117" spans="1:9" x14ac:dyDescent="0.3">
      <c r="A2117" s="1" t="str">
        <f>"59"</f>
        <v>59</v>
      </c>
      <c r="B2117" s="4" t="str">
        <f>"CARAMBOLAGE 59"</f>
        <v>CARAMBOLAGE 59</v>
      </c>
      <c r="C2117" s="4">
        <v>378851216</v>
      </c>
      <c r="D2117" s="3" t="s">
        <v>0</v>
      </c>
      <c r="E2117" s="2" t="str">
        <f>"0007004066"</f>
        <v>0007004066</v>
      </c>
      <c r="F2117" s="5">
        <v>43853</v>
      </c>
      <c r="G2117" s="5">
        <v>54789</v>
      </c>
      <c r="H2117" s="4" t="str">
        <f>""</f>
        <v/>
      </c>
      <c r="I2117" s="4" t="str">
        <f>""</f>
        <v/>
      </c>
    </row>
    <row r="2118" spans="1:9" x14ac:dyDescent="0.3">
      <c r="A2118" s="1" t="str">
        <f>"59"</f>
        <v>59</v>
      </c>
      <c r="B2118" s="4" t="str">
        <f>"CARAMBOLAGE 59"</f>
        <v>CARAMBOLAGE 59</v>
      </c>
      <c r="C2118" s="4">
        <v>378851216</v>
      </c>
      <c r="D2118" s="3" t="s">
        <v>0</v>
      </c>
      <c r="E2118" s="2" t="str">
        <f>"PR5900003D"</f>
        <v>PR5900003D</v>
      </c>
      <c r="F2118" s="5">
        <v>43853</v>
      </c>
      <c r="G2118" s="5">
        <v>54789</v>
      </c>
      <c r="H2118" s="4" t="str">
        <f>""</f>
        <v/>
      </c>
      <c r="I2118" s="4" t="str">
        <f>""</f>
        <v/>
      </c>
    </row>
    <row r="2119" spans="1:9" x14ac:dyDescent="0.3">
      <c r="A2119" s="1" t="str">
        <f>"59"</f>
        <v>59</v>
      </c>
      <c r="B2119" s="4" t="str">
        <f>"ACA-CARECO"</f>
        <v>ACA-CARECO</v>
      </c>
      <c r="C2119" s="4">
        <v>380317800</v>
      </c>
      <c r="D2119" s="3" t="s">
        <v>0</v>
      </c>
      <c r="E2119" s="2" t="str">
        <f>"PR5900064D"</f>
        <v>PR5900064D</v>
      </c>
      <c r="F2119" s="5">
        <v>43691</v>
      </c>
      <c r="G2119" s="5">
        <v>54789</v>
      </c>
      <c r="H2119" s="4" t="str">
        <f>""</f>
        <v/>
      </c>
      <c r="I2119" s="4" t="str">
        <f>""</f>
        <v/>
      </c>
    </row>
    <row r="2120" spans="1:9" x14ac:dyDescent="0.3">
      <c r="A2120" s="1" t="str">
        <f>"59"</f>
        <v>59</v>
      </c>
      <c r="B2120" s="4" t="str">
        <f>"SARL ACA"</f>
        <v>SARL ACA</v>
      </c>
      <c r="C2120" s="4">
        <v>380317800</v>
      </c>
      <c r="D2120" s="3" t="s">
        <v>0</v>
      </c>
      <c r="E2120" s="2" t="str">
        <f>"0007006014"</f>
        <v>0007006014</v>
      </c>
      <c r="F2120" s="5">
        <v>41065</v>
      </c>
      <c r="G2120" s="5">
        <v>54789</v>
      </c>
      <c r="H2120" s="4" t="str">
        <f>""</f>
        <v/>
      </c>
      <c r="I2120" s="4" t="str">
        <f>""</f>
        <v/>
      </c>
    </row>
    <row r="2121" spans="1:9" x14ac:dyDescent="0.3">
      <c r="A2121" s="1" t="str">
        <f>"59"</f>
        <v>59</v>
      </c>
      <c r="B2121" s="4" t="str">
        <f>"SARL ACA"</f>
        <v>SARL ACA</v>
      </c>
      <c r="C2121" s="4">
        <v>380317800</v>
      </c>
      <c r="D2121" s="3" t="s">
        <v>0</v>
      </c>
      <c r="E2121" s="2" t="str">
        <f>"PR5900001D"</f>
        <v>PR5900001D</v>
      </c>
      <c r="F2121" s="5">
        <v>41065</v>
      </c>
      <c r="G2121" s="5">
        <v>54789</v>
      </c>
      <c r="H2121" s="4" t="str">
        <f>""</f>
        <v/>
      </c>
      <c r="I2121" s="4" t="str">
        <f>""</f>
        <v/>
      </c>
    </row>
    <row r="2122" spans="1:9" x14ac:dyDescent="0.3">
      <c r="A2122" s="1" t="str">
        <f>"59"</f>
        <v>59</v>
      </c>
      <c r="B2122" s="4" t="str">
        <f>"GALLOO France"</f>
        <v>GALLOO France</v>
      </c>
      <c r="C2122" s="4">
        <v>383066020</v>
      </c>
      <c r="D2122" s="3" t="s">
        <v>0</v>
      </c>
      <c r="E2122" s="2" t="str">
        <f>"PR5900074D"</f>
        <v>PR5900074D</v>
      </c>
      <c r="F2122" s="5">
        <v>42569</v>
      </c>
      <c r="G2122" s="5">
        <v>54789</v>
      </c>
      <c r="H2122" s="4" t="str">
        <f>""</f>
        <v/>
      </c>
      <c r="I2122" s="4" t="str">
        <f>""</f>
        <v/>
      </c>
    </row>
    <row r="2123" spans="1:9" x14ac:dyDescent="0.3">
      <c r="A2123" s="1" t="str">
        <f>"59"</f>
        <v>59</v>
      </c>
      <c r="B2123" s="4" t="str">
        <f>"GALLOO France"</f>
        <v>GALLOO France</v>
      </c>
      <c r="C2123" s="4">
        <v>383066020</v>
      </c>
      <c r="D2123" s="3" t="s">
        <v>0</v>
      </c>
      <c r="E2123" s="2" t="str">
        <f>"0007004038"</f>
        <v>0007004038</v>
      </c>
      <c r="F2123" s="5">
        <v>42569</v>
      </c>
      <c r="G2123" s="5">
        <v>54789</v>
      </c>
      <c r="H2123" s="4" t="str">
        <f>""</f>
        <v/>
      </c>
      <c r="I2123" s="4" t="str">
        <f>""</f>
        <v/>
      </c>
    </row>
    <row r="2124" spans="1:9" x14ac:dyDescent="0.3">
      <c r="A2124" s="1" t="str">
        <f>"59"</f>
        <v>59</v>
      </c>
      <c r="B2124" s="4" t="str">
        <f>"GALLOO France"</f>
        <v>GALLOO France</v>
      </c>
      <c r="C2124" s="4">
        <v>383066602</v>
      </c>
      <c r="D2124" s="3" t="s">
        <v>0</v>
      </c>
      <c r="E2124" s="2" t="str">
        <f>"0007004021"</f>
        <v>0007004021</v>
      </c>
      <c r="F2124" s="5">
        <v>42681</v>
      </c>
      <c r="G2124" s="5">
        <v>54789</v>
      </c>
      <c r="H2124" s="4" t="str">
        <f>""</f>
        <v/>
      </c>
      <c r="I2124" s="4" t="str">
        <f>""</f>
        <v/>
      </c>
    </row>
    <row r="2125" spans="1:9" x14ac:dyDescent="0.3">
      <c r="A2125" s="1" t="str">
        <f>"59"</f>
        <v>59</v>
      </c>
      <c r="B2125" s="4" t="str">
        <f>"GALLOO France"</f>
        <v>GALLOO France</v>
      </c>
      <c r="C2125" s="4">
        <v>383066602</v>
      </c>
      <c r="D2125" s="3" t="s">
        <v>0</v>
      </c>
      <c r="E2125" s="2" t="str">
        <f>"PR5900020D"</f>
        <v>PR5900020D</v>
      </c>
      <c r="F2125" s="5">
        <v>42681</v>
      </c>
      <c r="G2125" s="5">
        <v>54789</v>
      </c>
      <c r="H2125" s="4" t="str">
        <f>""</f>
        <v/>
      </c>
      <c r="I2125" s="4" t="str">
        <f>""</f>
        <v/>
      </c>
    </row>
    <row r="2126" spans="1:9" x14ac:dyDescent="0.3">
      <c r="A2126" s="1" t="str">
        <f>"59"</f>
        <v>59</v>
      </c>
      <c r="B2126" s="4" t="str">
        <f>"GALOO France"</f>
        <v>GALOO France</v>
      </c>
      <c r="C2126" s="4">
        <v>383066602</v>
      </c>
      <c r="D2126" s="3" t="s">
        <v>0</v>
      </c>
      <c r="E2126" s="2" t="str">
        <f>"PR5900032D"</f>
        <v>PR5900032D</v>
      </c>
      <c r="F2126" s="5">
        <v>41915</v>
      </c>
      <c r="G2126" s="5">
        <v>54789</v>
      </c>
      <c r="H2126" s="4" t="str">
        <f>""</f>
        <v/>
      </c>
      <c r="I2126" s="4" t="str">
        <f>""</f>
        <v/>
      </c>
    </row>
    <row r="2127" spans="1:9" x14ac:dyDescent="0.3">
      <c r="A2127" s="1" t="str">
        <f>"59"</f>
        <v>59</v>
      </c>
      <c r="B2127" s="4" t="str">
        <f>"GALLOO France SA Division Oost Cappel"</f>
        <v>GALLOO France SA Division Oost Cappel</v>
      </c>
      <c r="C2127" s="4">
        <v>383066602</v>
      </c>
      <c r="D2127" s="3" t="s">
        <v>0</v>
      </c>
      <c r="E2127" s="2" t="str">
        <f>"PR5900057D"</f>
        <v>PR5900057D</v>
      </c>
      <c r="F2127" s="5">
        <v>42150</v>
      </c>
      <c r="G2127" s="5">
        <v>54789</v>
      </c>
      <c r="H2127" s="4" t="str">
        <f>""</f>
        <v/>
      </c>
      <c r="I2127" s="4" t="str">
        <f>""</f>
        <v/>
      </c>
    </row>
    <row r="2128" spans="1:9" x14ac:dyDescent="0.3">
      <c r="A2128" s="1" t="str">
        <f>"59"</f>
        <v>59</v>
      </c>
      <c r="B2128" s="4" t="str">
        <f>"GALLOO France SA ANICHE"</f>
        <v>GALLOO France SA ANICHE</v>
      </c>
      <c r="C2128" s="4">
        <v>383066602</v>
      </c>
      <c r="D2128" s="3" t="s">
        <v>0</v>
      </c>
      <c r="E2128" s="2" t="str">
        <f>"PR5900058D"</f>
        <v>PR5900058D</v>
      </c>
      <c r="F2128" s="5">
        <v>41275</v>
      </c>
      <c r="G2128" s="5">
        <v>54789</v>
      </c>
      <c r="H2128" s="4" t="str">
        <f>""</f>
        <v/>
      </c>
      <c r="I2128" s="4" t="str">
        <f>""</f>
        <v/>
      </c>
    </row>
    <row r="2129" spans="1:9" x14ac:dyDescent="0.3">
      <c r="A2129" s="1" t="str">
        <f>"59"</f>
        <v>59</v>
      </c>
      <c r="B2129" s="4" t="str">
        <f>"GALLOO FRANCE SA MARQUETTE"</f>
        <v>GALLOO FRANCE SA MARQUETTE</v>
      </c>
      <c r="C2129" s="4">
        <v>383066602</v>
      </c>
      <c r="D2129" s="3" t="s">
        <v>0</v>
      </c>
      <c r="E2129" s="2" t="str">
        <f>"PR5900066D"</f>
        <v>PR5900066D</v>
      </c>
      <c r="F2129" s="5">
        <v>41758</v>
      </c>
      <c r="G2129" s="5">
        <v>54789</v>
      </c>
      <c r="H2129" s="4" t="str">
        <f>""</f>
        <v/>
      </c>
      <c r="I2129" s="4" t="str">
        <f>""</f>
        <v/>
      </c>
    </row>
    <row r="2130" spans="1:9" x14ac:dyDescent="0.3">
      <c r="A2130" s="1" t="str">
        <f>"59"</f>
        <v>59</v>
      </c>
      <c r="B2130" s="4" t="str">
        <f>"GALLOO FRANCE SA HALLUIN"</f>
        <v>GALLOO FRANCE SA HALLUIN</v>
      </c>
      <c r="C2130" s="4">
        <v>383066602</v>
      </c>
      <c r="D2130" s="3" t="s">
        <v>0</v>
      </c>
      <c r="E2130" s="2" t="str">
        <f>"PR5900068D"</f>
        <v>PR5900068D</v>
      </c>
      <c r="F2130" s="5">
        <v>41907</v>
      </c>
      <c r="G2130" s="5">
        <v>54789</v>
      </c>
      <c r="H2130" s="4" t="str">
        <f>""</f>
        <v/>
      </c>
      <c r="I2130" s="4" t="str">
        <f>""</f>
        <v/>
      </c>
    </row>
    <row r="2131" spans="1:9" x14ac:dyDescent="0.3">
      <c r="A2131" s="1" t="str">
        <f>"59"</f>
        <v>59</v>
      </c>
      <c r="B2131" s="4" t="str">
        <f>"GALLOO France"</f>
        <v>GALLOO France</v>
      </c>
      <c r="C2131" s="4">
        <v>383066602</v>
      </c>
      <c r="D2131" s="3" t="s">
        <v>0</v>
      </c>
      <c r="E2131" s="2" t="str">
        <f>"PR5900084D"</f>
        <v>PR5900084D</v>
      </c>
      <c r="F2131" s="5">
        <v>43174</v>
      </c>
      <c r="G2131" s="5">
        <v>54789</v>
      </c>
      <c r="H2131" s="4" t="str">
        <f>""</f>
        <v/>
      </c>
      <c r="I2131" s="4" t="str">
        <f>""</f>
        <v/>
      </c>
    </row>
    <row r="2132" spans="1:9" x14ac:dyDescent="0.3">
      <c r="A2132" s="1" t="str">
        <f>"59"</f>
        <v>59</v>
      </c>
      <c r="B2132" s="4" t="str">
        <f>"GALLOO FRANCE SA MARQUETTE"</f>
        <v>GALLOO FRANCE SA MARQUETTE</v>
      </c>
      <c r="C2132" s="4">
        <v>383066602</v>
      </c>
      <c r="D2132" s="3" t="s">
        <v>0</v>
      </c>
      <c r="E2132" s="2" t="str">
        <f>"PR5900001B"</f>
        <v>PR5900001B</v>
      </c>
      <c r="F2132" s="5">
        <v>41758</v>
      </c>
      <c r="G2132" s="5">
        <v>54789</v>
      </c>
      <c r="H2132" s="4" t="str">
        <f>""</f>
        <v/>
      </c>
      <c r="I2132" s="4" t="str">
        <f>""</f>
        <v/>
      </c>
    </row>
    <row r="2133" spans="1:9" x14ac:dyDescent="0.3">
      <c r="A2133" s="1" t="str">
        <f>"59"</f>
        <v>59</v>
      </c>
      <c r="B2133" s="4" t="str">
        <f>"GALLOO France SA Division Oost Cappel"</f>
        <v>GALLOO France SA Division Oost Cappel</v>
      </c>
      <c r="C2133" s="4">
        <v>383066602</v>
      </c>
      <c r="D2133" s="3" t="s">
        <v>0</v>
      </c>
      <c r="E2133" s="2" t="str">
        <f>"0007004279"</f>
        <v>0007004279</v>
      </c>
      <c r="F2133" s="5">
        <v>42150</v>
      </c>
      <c r="G2133" s="5">
        <v>54789</v>
      </c>
      <c r="H2133" s="4" t="str">
        <f>""</f>
        <v/>
      </c>
      <c r="I2133" s="4" t="str">
        <f>""</f>
        <v/>
      </c>
    </row>
    <row r="2134" spans="1:9" x14ac:dyDescent="0.3">
      <c r="A2134" s="1" t="str">
        <f>"59"</f>
        <v>59</v>
      </c>
      <c r="B2134" s="4" t="str">
        <f>"GALLOO FRANCE SA HALLUIN"</f>
        <v>GALLOO FRANCE SA HALLUIN</v>
      </c>
      <c r="C2134" s="4">
        <v>383066602</v>
      </c>
      <c r="D2134" s="3" t="s">
        <v>0</v>
      </c>
      <c r="E2134" s="2" t="str">
        <f>"0007001187"</f>
        <v>0007001187</v>
      </c>
      <c r="F2134" s="5">
        <v>41907</v>
      </c>
      <c r="G2134" s="5">
        <v>54789</v>
      </c>
      <c r="H2134" s="4" t="str">
        <f>""</f>
        <v/>
      </c>
      <c r="I2134" s="4" t="str">
        <f>""</f>
        <v/>
      </c>
    </row>
    <row r="2135" spans="1:9" x14ac:dyDescent="0.3">
      <c r="A2135" s="1" t="str">
        <f>"59"</f>
        <v>59</v>
      </c>
      <c r="B2135" s="4" t="str">
        <f>"SA GALLOO FRANCE SA HALLUIN"</f>
        <v>SA GALLOO FRANCE SA HALLUIN</v>
      </c>
      <c r="C2135" s="4">
        <v>383066602</v>
      </c>
      <c r="D2135" s="3" t="s">
        <v>0</v>
      </c>
      <c r="E2135" s="2" t="str">
        <f>"PR5900002B"</f>
        <v>PR5900002B</v>
      </c>
      <c r="F2135" s="5">
        <v>41275</v>
      </c>
      <c r="G2135" s="5">
        <v>54789</v>
      </c>
      <c r="H2135" s="4" t="str">
        <f>""</f>
        <v/>
      </c>
      <c r="I2135" s="4" t="str">
        <f>""</f>
        <v/>
      </c>
    </row>
    <row r="2136" spans="1:9" x14ac:dyDescent="0.3">
      <c r="A2136" s="1" t="str">
        <f>"59"</f>
        <v>59</v>
      </c>
      <c r="B2136" s="4" t="str">
        <f>"GALLOO FRANCE SA ANICHE"</f>
        <v>GALLOO FRANCE SA ANICHE</v>
      </c>
      <c r="C2136" s="4">
        <v>383066602</v>
      </c>
      <c r="D2136" s="3" t="s">
        <v>0</v>
      </c>
      <c r="E2136" s="2" t="str">
        <f>"PR5900003B"</f>
        <v>PR5900003B</v>
      </c>
      <c r="F2136" s="5">
        <v>41275</v>
      </c>
      <c r="G2136" s="5">
        <v>54789</v>
      </c>
      <c r="H2136" s="4" t="str">
        <f>""</f>
        <v/>
      </c>
      <c r="I2136" s="4" t="str">
        <f>""</f>
        <v/>
      </c>
    </row>
    <row r="2137" spans="1:9" x14ac:dyDescent="0.3">
      <c r="A2137" s="1" t="str">
        <f>"59"</f>
        <v>59</v>
      </c>
      <c r="B2137" s="4" t="str">
        <f>"GALLOO France SA VALENCIENNES"</f>
        <v>GALLOO France SA VALENCIENNES</v>
      </c>
      <c r="C2137" s="4">
        <v>383066602</v>
      </c>
      <c r="D2137" s="3" t="s">
        <v>0</v>
      </c>
      <c r="E2137" s="2" t="str">
        <f>"0007004065"</f>
        <v>0007004065</v>
      </c>
      <c r="F2137" s="5">
        <v>43847</v>
      </c>
      <c r="G2137" s="5">
        <v>54789</v>
      </c>
      <c r="H2137" s="4" t="str">
        <f>""</f>
        <v/>
      </c>
      <c r="I2137" s="4" t="str">
        <f>""</f>
        <v/>
      </c>
    </row>
    <row r="2138" spans="1:9" x14ac:dyDescent="0.3">
      <c r="A2138" s="1" t="str">
        <f>"59"</f>
        <v>59</v>
      </c>
      <c r="B2138" s="4" t="str">
        <f>"GALOO France"</f>
        <v>GALOO France</v>
      </c>
      <c r="C2138" s="4">
        <v>383066602</v>
      </c>
      <c r="D2138" s="3" t="s">
        <v>0</v>
      </c>
      <c r="E2138" s="2" t="str">
        <f>"0007002284"</f>
        <v>0007002284</v>
      </c>
      <c r="F2138" s="5">
        <v>41915</v>
      </c>
      <c r="G2138" s="5">
        <v>54789</v>
      </c>
      <c r="H2138" s="4" t="str">
        <f>""</f>
        <v/>
      </c>
      <c r="I2138" s="4" t="str">
        <f>""</f>
        <v/>
      </c>
    </row>
    <row r="2139" spans="1:9" x14ac:dyDescent="0.3">
      <c r="A2139" s="1" t="str">
        <f>"59"</f>
        <v>59</v>
      </c>
      <c r="B2139" s="4" t="str">
        <f>"GALLOO France SA VALENCIENNES"</f>
        <v>GALLOO France SA VALENCIENNES</v>
      </c>
      <c r="C2139" s="4">
        <v>383066602</v>
      </c>
      <c r="D2139" s="3" t="s">
        <v>0</v>
      </c>
      <c r="E2139" s="2" t="str">
        <f>"PR5900006D"</f>
        <v>PR5900006D</v>
      </c>
      <c r="F2139" s="5">
        <v>43847</v>
      </c>
      <c r="G2139" s="5">
        <v>54789</v>
      </c>
      <c r="H2139" s="4" t="str">
        <f>""</f>
        <v/>
      </c>
      <c r="I2139" s="4" t="str">
        <f>""</f>
        <v/>
      </c>
    </row>
    <row r="2140" spans="1:9" x14ac:dyDescent="0.3">
      <c r="A2140" s="1" t="str">
        <f>"59"</f>
        <v>59</v>
      </c>
      <c r="B2140" s="4" t="str">
        <f>"GALLOO FRANCE SA MARQUETTE"</f>
        <v>GALLOO FRANCE SA MARQUETTE</v>
      </c>
      <c r="C2140" s="4">
        <v>383066602</v>
      </c>
      <c r="D2140" s="3" t="s">
        <v>0</v>
      </c>
      <c r="E2140" s="2" t="str">
        <f>"0007004253"</f>
        <v>0007004253</v>
      </c>
      <c r="F2140" s="5">
        <v>41758</v>
      </c>
      <c r="G2140" s="5">
        <v>54789</v>
      </c>
      <c r="H2140" s="4" t="str">
        <f>""</f>
        <v/>
      </c>
      <c r="I2140" s="4" t="str">
        <f>""</f>
        <v/>
      </c>
    </row>
    <row r="2141" spans="1:9" x14ac:dyDescent="0.3">
      <c r="A2141" s="1" t="str">
        <f>"59"</f>
        <v>59</v>
      </c>
      <c r="B2141" s="4" t="str">
        <f>"GALLOO France"</f>
        <v>GALLOO France</v>
      </c>
      <c r="C2141" s="4">
        <v>383066602</v>
      </c>
      <c r="D2141" s="3" t="s">
        <v>0</v>
      </c>
      <c r="E2141" s="2" t="str">
        <f>"0007004006"</f>
        <v>0007004006</v>
      </c>
      <c r="F2141" s="5">
        <v>43174</v>
      </c>
      <c r="G2141" s="5">
        <v>54789</v>
      </c>
      <c r="H2141" s="4" t="str">
        <f>""</f>
        <v/>
      </c>
      <c r="I2141" s="4" t="str">
        <f>""</f>
        <v/>
      </c>
    </row>
    <row r="2142" spans="1:9" x14ac:dyDescent="0.3">
      <c r="A2142" s="1" t="str">
        <f>"59"</f>
        <v>59</v>
      </c>
      <c r="B2142" s="4" t="str">
        <f>"SARL CASSE DE DON"</f>
        <v>SARL CASSE DE DON</v>
      </c>
      <c r="C2142" s="4">
        <v>383397148</v>
      </c>
      <c r="D2142" s="3" t="s">
        <v>0</v>
      </c>
      <c r="E2142" s="2" t="str">
        <f>"0007004002"</f>
        <v>0007004002</v>
      </c>
      <c r="F2142" s="5">
        <v>43224</v>
      </c>
      <c r="G2142" s="5">
        <v>54789</v>
      </c>
      <c r="H2142" s="4" t="str">
        <f>""</f>
        <v/>
      </c>
      <c r="I2142" s="4" t="str">
        <f>""</f>
        <v/>
      </c>
    </row>
    <row r="2143" spans="1:9" x14ac:dyDescent="0.3">
      <c r="A2143" s="1" t="str">
        <f>"59"</f>
        <v>59</v>
      </c>
      <c r="B2143" s="4" t="str">
        <f>"SARL CASSE DE DON"</f>
        <v>SARL CASSE DE DON</v>
      </c>
      <c r="C2143" s="4">
        <v>383397148</v>
      </c>
      <c r="D2143" s="3" t="s">
        <v>0</v>
      </c>
      <c r="E2143" s="2" t="str">
        <f>"PR5900007D"</f>
        <v>PR5900007D</v>
      </c>
      <c r="F2143" s="5">
        <v>38852</v>
      </c>
      <c r="G2143" s="5">
        <v>54789</v>
      </c>
      <c r="H2143" s="4" t="str">
        <f>""</f>
        <v/>
      </c>
      <c r="I2143" s="4" t="str">
        <f>""</f>
        <v/>
      </c>
    </row>
    <row r="2144" spans="1:9" x14ac:dyDescent="0.3">
      <c r="A2144" s="1" t="str">
        <f>"59"</f>
        <v>59</v>
      </c>
      <c r="B2144" s="4" t="str">
        <f>"CASSE AUTO AUBYGEOISE"</f>
        <v>CASSE AUTO AUBYGEOISE</v>
      </c>
      <c r="C2144" s="4">
        <v>398122226</v>
      </c>
      <c r="D2144" s="3" t="s">
        <v>0</v>
      </c>
      <c r="E2144" s="2" t="str">
        <f>"0007004031"</f>
        <v>0007004031</v>
      </c>
      <c r="F2144" s="5">
        <v>43795</v>
      </c>
      <c r="G2144" s="5">
        <v>54789</v>
      </c>
      <c r="H2144" s="4" t="str">
        <f>""</f>
        <v/>
      </c>
      <c r="I2144" s="4" t="str">
        <f>""</f>
        <v/>
      </c>
    </row>
    <row r="2145" spans="1:9" x14ac:dyDescent="0.3">
      <c r="A2145" s="1" t="str">
        <f>"59"</f>
        <v>59</v>
      </c>
      <c r="B2145" s="4" t="str">
        <f>"CASSE AUTO AUBYGEOISE"</f>
        <v>CASSE AUTO AUBYGEOISE</v>
      </c>
      <c r="C2145" s="4">
        <v>398122226</v>
      </c>
      <c r="D2145" s="3" t="s">
        <v>0</v>
      </c>
      <c r="E2145" s="2" t="str">
        <f>"PR5900030D"</f>
        <v>PR5900030D</v>
      </c>
      <c r="F2145" s="5">
        <v>43795</v>
      </c>
      <c r="G2145" s="5">
        <v>54789</v>
      </c>
      <c r="H2145" s="4" t="str">
        <f>""</f>
        <v/>
      </c>
      <c r="I2145" s="4" t="str">
        <f>""</f>
        <v/>
      </c>
    </row>
    <row r="2146" spans="1:9" x14ac:dyDescent="0.3">
      <c r="A2146" s="1" t="str">
        <f>"59"</f>
        <v>59</v>
      </c>
      <c r="B2146" s="4" t="str">
        <f>"CAPNOR"</f>
        <v>CAPNOR</v>
      </c>
      <c r="C2146" s="4">
        <v>398690347</v>
      </c>
      <c r="D2146" s="3" t="s">
        <v>0</v>
      </c>
      <c r="E2146" s="2" t="str">
        <f>"PR5900061D"</f>
        <v>PR5900061D</v>
      </c>
      <c r="F2146" s="5">
        <v>43537</v>
      </c>
      <c r="G2146" s="5">
        <v>54789</v>
      </c>
      <c r="H2146" s="4" t="str">
        <f>""</f>
        <v/>
      </c>
      <c r="I2146" s="4" t="str">
        <f>""</f>
        <v/>
      </c>
    </row>
    <row r="2147" spans="1:9" x14ac:dyDescent="0.3">
      <c r="A2147" s="1" t="str">
        <f>"59"</f>
        <v>59</v>
      </c>
      <c r="B2147" s="4" t="str">
        <f>"CAPNOR"</f>
        <v>CAPNOR</v>
      </c>
      <c r="C2147" s="4">
        <v>398690347</v>
      </c>
      <c r="D2147" s="3" t="s">
        <v>0</v>
      </c>
      <c r="E2147" s="2" t="str">
        <f>"0007005277"</f>
        <v>0007005277</v>
      </c>
      <c r="F2147" s="5">
        <v>43537</v>
      </c>
      <c r="G2147" s="5">
        <v>54789</v>
      </c>
      <c r="H2147" s="4" t="str">
        <f>""</f>
        <v/>
      </c>
      <c r="I2147" s="4" t="str">
        <f>""</f>
        <v/>
      </c>
    </row>
    <row r="2148" spans="1:9" x14ac:dyDescent="0.3">
      <c r="A2148" s="1" t="str">
        <f>"59"</f>
        <v>59</v>
      </c>
      <c r="B2148" s="4" t="str">
        <f>"AUTO PIECES 59"</f>
        <v>AUTO PIECES 59</v>
      </c>
      <c r="C2148" s="4">
        <v>399186360</v>
      </c>
      <c r="D2148" s="3" t="s">
        <v>0</v>
      </c>
      <c r="E2148" s="2" t="str">
        <f>"PR5900034D"</f>
        <v>PR5900034D</v>
      </c>
      <c r="F2148" s="5">
        <v>39044</v>
      </c>
      <c r="G2148" s="5">
        <v>54789</v>
      </c>
      <c r="H2148" s="4" t="str">
        <f>""</f>
        <v/>
      </c>
      <c r="I2148" s="4" t="str">
        <f>""</f>
        <v/>
      </c>
    </row>
    <row r="2149" spans="1:9" x14ac:dyDescent="0.3">
      <c r="A2149" s="1" t="str">
        <f>"59"</f>
        <v>59</v>
      </c>
      <c r="B2149" s="4" t="str">
        <f>"AUTO PIECES 59"</f>
        <v>AUTO PIECES 59</v>
      </c>
      <c r="C2149" s="4">
        <v>399186360</v>
      </c>
      <c r="D2149" s="3" t="s">
        <v>0</v>
      </c>
      <c r="E2149" s="2" t="str">
        <f>"PR5900034D"</f>
        <v>PR5900034D</v>
      </c>
      <c r="F2149" s="5">
        <v>41237</v>
      </c>
      <c r="G2149" s="5">
        <v>54789</v>
      </c>
      <c r="H2149" s="4" t="str">
        <f>""</f>
        <v/>
      </c>
      <c r="I2149" s="4" t="str">
        <f>""</f>
        <v/>
      </c>
    </row>
    <row r="2150" spans="1:9" x14ac:dyDescent="0.3">
      <c r="A2150" s="1" t="str">
        <f>"59"</f>
        <v>59</v>
      </c>
      <c r="B2150" s="4" t="str">
        <f>"AUTO PIECES 59"</f>
        <v>AUTO PIECES 59</v>
      </c>
      <c r="C2150" s="4">
        <v>399186360</v>
      </c>
      <c r="D2150" s="3" t="s">
        <v>0</v>
      </c>
      <c r="E2150" s="2" t="str">
        <f>"0007004297"</f>
        <v>0007004297</v>
      </c>
      <c r="F2150" s="5">
        <v>43753</v>
      </c>
      <c r="G2150" s="5">
        <v>54789</v>
      </c>
      <c r="H2150" s="4" t="str">
        <f>""</f>
        <v/>
      </c>
      <c r="I2150" s="4" t="str">
        <f>""</f>
        <v/>
      </c>
    </row>
    <row r="2151" spans="1:9" x14ac:dyDescent="0.3">
      <c r="A2151" s="1" t="str">
        <f>"59"</f>
        <v>59</v>
      </c>
      <c r="B2151" s="4" t="str">
        <f>"SAS MOLINS CREAUTO"</f>
        <v>SAS MOLINS CREAUTO</v>
      </c>
      <c r="C2151" s="4">
        <v>400217626</v>
      </c>
      <c r="D2151" s="3" t="s">
        <v>0</v>
      </c>
      <c r="E2151" s="2" t="str">
        <f>"PR5900005D"</f>
        <v>PR5900005D</v>
      </c>
      <c r="F2151" s="5">
        <v>43333</v>
      </c>
      <c r="G2151" s="5">
        <v>54789</v>
      </c>
      <c r="H2151" s="4" t="str">
        <f>""</f>
        <v/>
      </c>
      <c r="I2151" s="4" t="str">
        <f>""</f>
        <v/>
      </c>
    </row>
    <row r="2152" spans="1:9" x14ac:dyDescent="0.3">
      <c r="A2152" s="1" t="str">
        <f>"59"</f>
        <v>59</v>
      </c>
      <c r="B2152" s="4" t="str">
        <f>"SAS MOLINS CREAUTO"</f>
        <v>SAS MOLINS CREAUTO</v>
      </c>
      <c r="C2152" s="4">
        <v>400217626</v>
      </c>
      <c r="D2152" s="3" t="s">
        <v>0</v>
      </c>
      <c r="E2152" s="2" t="str">
        <f>"0007003990"</f>
        <v>0007003990</v>
      </c>
      <c r="F2152" s="5">
        <v>43333</v>
      </c>
      <c r="G2152" s="5">
        <v>54789</v>
      </c>
      <c r="H2152" s="4" t="str">
        <f>""</f>
        <v/>
      </c>
      <c r="I2152" s="4" t="str">
        <f>""</f>
        <v/>
      </c>
    </row>
    <row r="2153" spans="1:9" x14ac:dyDescent="0.3">
      <c r="A2153" s="1" t="str">
        <f>"59"</f>
        <v>59</v>
      </c>
      <c r="B2153" s="4" t="str">
        <f>"MOLINS CREAUTO"</f>
        <v>MOLINS CREAUTO</v>
      </c>
      <c r="C2153" s="4">
        <v>400217627</v>
      </c>
      <c r="D2153" s="3" t="s">
        <v>0</v>
      </c>
      <c r="E2153" s="2" t="str">
        <f>"PR5900022D"</f>
        <v>PR5900022D</v>
      </c>
      <c r="F2153" s="5">
        <v>42751</v>
      </c>
      <c r="G2153" s="5">
        <v>54789</v>
      </c>
      <c r="H2153" s="4" t="str">
        <f>""</f>
        <v/>
      </c>
      <c r="I2153" s="4" t="str">
        <f>""</f>
        <v/>
      </c>
    </row>
    <row r="2154" spans="1:9" x14ac:dyDescent="0.3">
      <c r="A2154" s="1" t="str">
        <f>"59"</f>
        <v>59</v>
      </c>
      <c r="B2154" s="4" t="str">
        <f>"MOLINS CREAUTO"</f>
        <v>MOLINS CREAUTO</v>
      </c>
      <c r="C2154" s="4">
        <v>400217627</v>
      </c>
      <c r="D2154" s="3" t="s">
        <v>0</v>
      </c>
      <c r="E2154" s="2" t="str">
        <f>"0007003997"</f>
        <v>0007003997</v>
      </c>
      <c r="F2154" s="5">
        <v>42751</v>
      </c>
      <c r="G2154" s="5">
        <v>54789</v>
      </c>
      <c r="H2154" s="4" t="str">
        <f>""</f>
        <v/>
      </c>
      <c r="I2154" s="4" t="str">
        <f>""</f>
        <v/>
      </c>
    </row>
    <row r="2155" spans="1:9" x14ac:dyDescent="0.3">
      <c r="A2155" s="1" t="str">
        <f>"59"</f>
        <v>59</v>
      </c>
      <c r="B2155" s="4" t="str">
        <f>"SARL IBANEZ PERE ET FILS"</f>
        <v>SARL IBANEZ PERE ET FILS</v>
      </c>
      <c r="C2155" s="4">
        <v>404992083</v>
      </c>
      <c r="D2155" s="3" t="s">
        <v>0</v>
      </c>
      <c r="E2155" s="2" t="str">
        <f>"PR5900052D"</f>
        <v>PR5900052D</v>
      </c>
      <c r="F2155" s="5">
        <v>40203</v>
      </c>
      <c r="G2155" s="5">
        <v>54789</v>
      </c>
      <c r="H2155" s="4" t="str">
        <f>""</f>
        <v/>
      </c>
      <c r="I2155" s="4" t="str">
        <f>""</f>
        <v/>
      </c>
    </row>
    <row r="2156" spans="1:9" x14ac:dyDescent="0.3">
      <c r="A2156" s="1" t="str">
        <f>"59"</f>
        <v>59</v>
      </c>
      <c r="B2156" s="4" t="str">
        <f>"SARL IBANEZ PERE ET FILS"</f>
        <v>SARL IBANEZ PERE ET FILS</v>
      </c>
      <c r="C2156" s="4">
        <v>404992083</v>
      </c>
      <c r="D2156" s="3" t="s">
        <v>0</v>
      </c>
      <c r="E2156" s="2" t="str">
        <f>"0007004092"</f>
        <v>0007004092</v>
      </c>
      <c r="F2156" s="5">
        <v>40203</v>
      </c>
      <c r="G2156" s="5">
        <v>54789</v>
      </c>
      <c r="H2156" s="4" t="str">
        <f>""</f>
        <v/>
      </c>
      <c r="I2156" s="4" t="str">
        <f>""</f>
        <v/>
      </c>
    </row>
    <row r="2157" spans="1:9" x14ac:dyDescent="0.3">
      <c r="A2157" s="1" t="str">
        <f>"59"</f>
        <v>59</v>
      </c>
      <c r="B2157" s="4" t="str">
        <f>"BAUDELET HOLDING"</f>
        <v>BAUDELET HOLDING</v>
      </c>
      <c r="C2157" s="4">
        <v>410275424</v>
      </c>
      <c r="D2157" s="3" t="s">
        <v>0</v>
      </c>
      <c r="E2157" s="2" t="str">
        <f>"0007005332"</f>
        <v>0007005332</v>
      </c>
      <c r="F2157" s="5">
        <v>42943</v>
      </c>
      <c r="G2157" s="5">
        <v>54789</v>
      </c>
      <c r="H2157" s="4" t="str">
        <f>""</f>
        <v/>
      </c>
      <c r="I2157" s="4" t="str">
        <f>""</f>
        <v/>
      </c>
    </row>
    <row r="2158" spans="1:9" x14ac:dyDescent="0.3">
      <c r="A2158" s="1" t="str">
        <f>"59"</f>
        <v>59</v>
      </c>
      <c r="B2158" s="4" t="str">
        <f>"SOCIETE BAUDELET METAUX"</f>
        <v>SOCIETE BAUDELET METAUX</v>
      </c>
      <c r="C2158" s="4">
        <v>410275424</v>
      </c>
      <c r="D2158" s="3" t="s">
        <v>0</v>
      </c>
      <c r="E2158" s="2" t="str">
        <f>"PR5900045D"</f>
        <v>PR5900045D</v>
      </c>
      <c r="F2158" s="5">
        <v>42145</v>
      </c>
      <c r="G2158" s="5">
        <v>54789</v>
      </c>
      <c r="H2158" s="4" t="str">
        <f>""</f>
        <v/>
      </c>
      <c r="I2158" s="4" t="str">
        <f>""</f>
        <v/>
      </c>
    </row>
    <row r="2159" spans="1:9" x14ac:dyDescent="0.3">
      <c r="A2159" s="1" t="str">
        <f>"59"</f>
        <v>59</v>
      </c>
      <c r="B2159" s="4" t="str">
        <f>"BAUDELET MATERIAUX"</f>
        <v>BAUDELET MATERIAUX</v>
      </c>
      <c r="C2159" s="4">
        <v>410275424</v>
      </c>
      <c r="D2159" s="3" t="s">
        <v>0</v>
      </c>
      <c r="E2159" s="2" t="str">
        <f>"PR5900050D"</f>
        <v>PR5900050D</v>
      </c>
      <c r="F2159" s="5">
        <v>42341</v>
      </c>
      <c r="G2159" s="5">
        <v>54789</v>
      </c>
      <c r="H2159" s="4" t="str">
        <f>""</f>
        <v/>
      </c>
      <c r="I2159" s="4" t="str">
        <f>""</f>
        <v/>
      </c>
    </row>
    <row r="2160" spans="1:9" x14ac:dyDescent="0.3">
      <c r="A2160" s="1" t="str">
        <f>"59"</f>
        <v>59</v>
      </c>
      <c r="B2160" s="4" t="str">
        <f>"BAUDELET ENSEIGNE ECO TRI"</f>
        <v>BAUDELET ENSEIGNE ECO TRI</v>
      </c>
      <c r="C2160" s="4">
        <v>410275424</v>
      </c>
      <c r="D2160" s="3" t="s">
        <v>0</v>
      </c>
      <c r="E2160" s="2" t="str">
        <f>"PR5900063D"</f>
        <v>PR5900063D</v>
      </c>
      <c r="F2160" s="5">
        <v>41411</v>
      </c>
      <c r="G2160" s="5">
        <v>54789</v>
      </c>
      <c r="H2160" s="4" t="str">
        <f>""</f>
        <v/>
      </c>
      <c r="I2160" s="4" t="str">
        <f>""</f>
        <v/>
      </c>
    </row>
    <row r="2161" spans="1:9" x14ac:dyDescent="0.3">
      <c r="A2161" s="1" t="str">
        <f>"59"</f>
        <v>59</v>
      </c>
      <c r="B2161" s="4" t="str">
        <f>"BAUDELET HOLDING"</f>
        <v>BAUDELET HOLDING</v>
      </c>
      <c r="C2161" s="4">
        <v>410275424</v>
      </c>
      <c r="D2161" s="3" t="s">
        <v>0</v>
      </c>
      <c r="E2161" s="2" t="str">
        <f>"PR5900078D"</f>
        <v>PR5900078D</v>
      </c>
      <c r="F2161" s="5">
        <v>42943</v>
      </c>
      <c r="G2161" s="5">
        <v>54789</v>
      </c>
      <c r="H2161" s="4" t="str">
        <f>""</f>
        <v/>
      </c>
      <c r="I2161" s="4" t="str">
        <f>""</f>
        <v/>
      </c>
    </row>
    <row r="2162" spans="1:9" x14ac:dyDescent="0.3">
      <c r="A2162" s="1" t="str">
        <f>"59"</f>
        <v>59</v>
      </c>
      <c r="B2162" s="4" t="str">
        <f>"BAUDELET"</f>
        <v>BAUDELET</v>
      </c>
      <c r="C2162" s="4">
        <v>410275424</v>
      </c>
      <c r="D2162" s="3" t="s">
        <v>0</v>
      </c>
      <c r="E2162" s="2" t="str">
        <f>"PR5900087D"</f>
        <v>PR5900087D</v>
      </c>
      <c r="F2162" s="5">
        <v>44743</v>
      </c>
      <c r="G2162" s="5">
        <v>54789</v>
      </c>
      <c r="H2162" s="4" t="str">
        <f>""</f>
        <v/>
      </c>
      <c r="I2162" s="4" t="str">
        <f>""</f>
        <v/>
      </c>
    </row>
    <row r="2163" spans="1:9" x14ac:dyDescent="0.3">
      <c r="A2163" s="1" t="str">
        <f>"59"</f>
        <v>59</v>
      </c>
      <c r="B2163" s="4" t="str">
        <f>"SOCIETE BAUDELET METAUX"</f>
        <v>SOCIETE BAUDELET METAUX</v>
      </c>
      <c r="C2163" s="4">
        <v>410275424</v>
      </c>
      <c r="D2163" s="3" t="s">
        <v>0</v>
      </c>
      <c r="E2163" s="2" t="str">
        <f>"0007004280"</f>
        <v>0007004280</v>
      </c>
      <c r="F2163" s="5">
        <v>42145</v>
      </c>
      <c r="G2163" s="5">
        <v>54789</v>
      </c>
      <c r="H2163" s="4" t="str">
        <f>""</f>
        <v/>
      </c>
      <c r="I2163" s="4" t="str">
        <f>""</f>
        <v/>
      </c>
    </row>
    <row r="2164" spans="1:9" x14ac:dyDescent="0.3">
      <c r="A2164" s="1" t="str">
        <f>"59"</f>
        <v>59</v>
      </c>
      <c r="B2164" s="4" t="str">
        <f>"BAUDELET ENSEIGNE ECO TRI"</f>
        <v>BAUDELET ENSEIGNE ECO TRI</v>
      </c>
      <c r="C2164" s="4">
        <v>410275424</v>
      </c>
      <c r="D2164" s="3" t="s">
        <v>0</v>
      </c>
      <c r="E2164" s="2" t="str">
        <f>"0007004281"</f>
        <v>0007004281</v>
      </c>
      <c r="F2164" s="5">
        <v>43565</v>
      </c>
      <c r="G2164" s="5">
        <v>54789</v>
      </c>
      <c r="H2164" s="4" t="str">
        <f>""</f>
        <v/>
      </c>
      <c r="I2164" s="4" t="str">
        <f>""</f>
        <v/>
      </c>
    </row>
    <row r="2165" spans="1:9" x14ac:dyDescent="0.3">
      <c r="A2165" s="1" t="str">
        <f>"59"</f>
        <v>59</v>
      </c>
      <c r="B2165" s="4" t="str">
        <f>"BAUDELET"</f>
        <v>BAUDELET</v>
      </c>
      <c r="C2165" s="4">
        <v>410275424</v>
      </c>
      <c r="D2165" s="3" t="s">
        <v>0</v>
      </c>
      <c r="E2165" s="2" t="str">
        <f>"0007005204"</f>
        <v>0007005204</v>
      </c>
      <c r="F2165" s="5">
        <v>44743</v>
      </c>
      <c r="G2165" s="5">
        <v>54789</v>
      </c>
      <c r="H2165" s="4" t="str">
        <f>""</f>
        <v/>
      </c>
      <c r="I2165" s="4" t="str">
        <f>""</f>
        <v/>
      </c>
    </row>
    <row r="2166" spans="1:9" x14ac:dyDescent="0.3">
      <c r="A2166" s="1" t="str">
        <f>"59"</f>
        <v>59</v>
      </c>
      <c r="B2166" s="4" t="str">
        <f>"BAUDELET MATERIAUX"</f>
        <v>BAUDELET MATERIAUX</v>
      </c>
      <c r="C2166" s="4">
        <v>410275424</v>
      </c>
      <c r="D2166" s="3" t="s">
        <v>0</v>
      </c>
      <c r="E2166" s="2" t="str">
        <f>"0007004000"</f>
        <v>0007004000</v>
      </c>
      <c r="F2166" s="5">
        <v>42341</v>
      </c>
      <c r="G2166" s="5">
        <v>54789</v>
      </c>
      <c r="H2166" s="4" t="str">
        <f>""</f>
        <v/>
      </c>
      <c r="I2166" s="4" t="str">
        <f>""</f>
        <v/>
      </c>
    </row>
    <row r="2167" spans="1:9" x14ac:dyDescent="0.3">
      <c r="A2167" s="1" t="str">
        <f>"59"</f>
        <v>59</v>
      </c>
      <c r="B2167" s="4" t="str">
        <f>"P2AR"</f>
        <v>P2AR</v>
      </c>
      <c r="C2167" s="4">
        <v>411793490</v>
      </c>
      <c r="D2167" s="3" t="s">
        <v>0</v>
      </c>
      <c r="E2167" s="2" t="str">
        <f>"PR5900023D"</f>
        <v>PR5900023D</v>
      </c>
      <c r="F2167" s="5">
        <v>41640</v>
      </c>
      <c r="G2167" s="5">
        <v>54789</v>
      </c>
      <c r="H2167" s="4" t="str">
        <f>""</f>
        <v/>
      </c>
      <c r="I2167" s="4" t="str">
        <f>""</f>
        <v/>
      </c>
    </row>
    <row r="2168" spans="1:9" x14ac:dyDescent="0.3">
      <c r="A2168" s="1" t="str">
        <f>"59"</f>
        <v>59</v>
      </c>
      <c r="B2168" s="4" t="str">
        <f>"P2AR"</f>
        <v>P2AR</v>
      </c>
      <c r="C2168" s="4">
        <v>411793490</v>
      </c>
      <c r="D2168" s="3" t="s">
        <v>0</v>
      </c>
      <c r="E2168" s="2" t="str">
        <f>"0007004015"</f>
        <v>0007004015</v>
      </c>
      <c r="F2168" s="5">
        <v>41640</v>
      </c>
      <c r="G2168" s="5">
        <v>54789</v>
      </c>
      <c r="H2168" s="4" t="str">
        <f>""</f>
        <v/>
      </c>
      <c r="I2168" s="4" t="str">
        <f>""</f>
        <v/>
      </c>
    </row>
    <row r="2169" spans="1:9" x14ac:dyDescent="0.3">
      <c r="A2169" s="1" t="str">
        <f>"59"</f>
        <v>59</v>
      </c>
      <c r="B2169" s="4" t="str">
        <f>"SARL FIEVEZ AUTOMOBILES"</f>
        <v>SARL FIEVEZ AUTOMOBILES</v>
      </c>
      <c r="C2169" s="4">
        <v>412626384</v>
      </c>
      <c r="D2169" s="3" t="s">
        <v>0</v>
      </c>
      <c r="E2169" s="2" t="str">
        <f>"PR5900024D"</f>
        <v>PR5900024D</v>
      </c>
      <c r="F2169" s="5">
        <v>43210</v>
      </c>
      <c r="G2169" s="5">
        <v>54789</v>
      </c>
      <c r="H2169" s="4" t="str">
        <f>""</f>
        <v/>
      </c>
      <c r="I2169" s="4" t="str">
        <f>""</f>
        <v/>
      </c>
    </row>
    <row r="2170" spans="1:9" x14ac:dyDescent="0.3">
      <c r="A2170" s="1" t="str">
        <f>"59"</f>
        <v>59</v>
      </c>
      <c r="B2170" s="4" t="str">
        <f>"SARL FIEVEZ AUTOMOBILES"</f>
        <v>SARL FIEVEZ AUTOMOBILES</v>
      </c>
      <c r="C2170" s="4">
        <v>412626384</v>
      </c>
      <c r="D2170" s="3" t="s">
        <v>0</v>
      </c>
      <c r="E2170" s="2" t="str">
        <f>"0007004045"</f>
        <v>0007004045</v>
      </c>
      <c r="F2170" s="5">
        <v>43210</v>
      </c>
      <c r="G2170" s="5">
        <v>54789</v>
      </c>
      <c r="H2170" s="4" t="str">
        <f>""</f>
        <v/>
      </c>
      <c r="I2170" s="4" t="str">
        <f>""</f>
        <v/>
      </c>
    </row>
    <row r="2171" spans="1:9" x14ac:dyDescent="0.3">
      <c r="A2171" s="1" t="str">
        <f>"59"</f>
        <v>59</v>
      </c>
      <c r="B2171" s="4" t="str">
        <f>"LABEL'PIECE"</f>
        <v>LABEL'PIECE</v>
      </c>
      <c r="C2171" s="4">
        <v>424155109</v>
      </c>
      <c r="D2171" s="3" t="s">
        <v>0</v>
      </c>
      <c r="E2171" s="2" t="str">
        <f>"PR5900035D"</f>
        <v>PR5900035D</v>
      </c>
      <c r="F2171" s="5">
        <v>43417</v>
      </c>
      <c r="G2171" s="5">
        <v>54789</v>
      </c>
      <c r="H2171" s="4" t="str">
        <f>""</f>
        <v/>
      </c>
      <c r="I2171" s="4" t="str">
        <f>""</f>
        <v/>
      </c>
    </row>
    <row r="2172" spans="1:9" x14ac:dyDescent="0.3">
      <c r="A2172" s="1" t="str">
        <f>"59"</f>
        <v>59</v>
      </c>
      <c r="B2172" s="4" t="str">
        <f>"LABEL'PIECE"</f>
        <v>LABEL'PIECE</v>
      </c>
      <c r="C2172" s="4">
        <v>424155109</v>
      </c>
      <c r="D2172" s="3" t="s">
        <v>0</v>
      </c>
      <c r="E2172" s="2" t="str">
        <f>"42415510900012"</f>
        <v>42415510900012</v>
      </c>
      <c r="F2172" s="5">
        <v>43417</v>
      </c>
      <c r="G2172" s="5">
        <v>54789</v>
      </c>
      <c r="H2172" s="4" t="str">
        <f>""</f>
        <v/>
      </c>
      <c r="I2172" s="4" t="str">
        <f>""</f>
        <v/>
      </c>
    </row>
    <row r="2173" spans="1:9" x14ac:dyDescent="0.3">
      <c r="A2173" s="1" t="str">
        <f>"59"</f>
        <v>59</v>
      </c>
      <c r="B2173" s="4" t="str">
        <f>"MOURAD AUTO"</f>
        <v>MOURAD AUTO</v>
      </c>
      <c r="C2173" s="4">
        <v>428075428</v>
      </c>
      <c r="D2173" s="3" t="s">
        <v>0</v>
      </c>
      <c r="E2173" s="2" t="str">
        <f>"PR5900021D"</f>
        <v>PR5900021D</v>
      </c>
      <c r="F2173" s="5">
        <v>43438</v>
      </c>
      <c r="G2173" s="5">
        <v>54789</v>
      </c>
      <c r="H2173" s="4" t="str">
        <f>""</f>
        <v/>
      </c>
      <c r="I2173" s="4" t="str">
        <f>""</f>
        <v/>
      </c>
    </row>
    <row r="2174" spans="1:9" x14ac:dyDescent="0.3">
      <c r="A2174" s="1" t="str">
        <f>"59"</f>
        <v>59</v>
      </c>
      <c r="B2174" s="4" t="str">
        <f>"MOURAD AUTO"</f>
        <v>MOURAD AUTO</v>
      </c>
      <c r="C2174" s="4">
        <v>428075428</v>
      </c>
      <c r="D2174" s="3" t="s">
        <v>0</v>
      </c>
      <c r="E2174" s="2" t="str">
        <f>"0007004023"</f>
        <v>0007004023</v>
      </c>
      <c r="F2174" s="5">
        <v>43438</v>
      </c>
      <c r="G2174" s="5">
        <v>54789</v>
      </c>
      <c r="H2174" s="4" t="str">
        <f>""</f>
        <v/>
      </c>
      <c r="I2174" s="4" t="str">
        <f>""</f>
        <v/>
      </c>
    </row>
    <row r="2175" spans="1:9" x14ac:dyDescent="0.3">
      <c r="A2175" s="1" t="str">
        <f>"59"</f>
        <v>59</v>
      </c>
      <c r="B2175" s="4" t="str">
        <f>"SARL BRICOUT"</f>
        <v>SARL BRICOUT</v>
      </c>
      <c r="C2175" s="4">
        <v>428078810</v>
      </c>
      <c r="D2175" s="3" t="s">
        <v>0</v>
      </c>
      <c r="E2175" s="2" t="str">
        <f>"0007004476"</f>
        <v>0007004476</v>
      </c>
      <c r="F2175" s="5">
        <v>42062</v>
      </c>
      <c r="G2175" s="5">
        <v>54789</v>
      </c>
      <c r="H2175" s="4" t="str">
        <f>""</f>
        <v/>
      </c>
      <c r="I2175" s="4" t="str">
        <f>""</f>
        <v/>
      </c>
    </row>
    <row r="2176" spans="1:9" x14ac:dyDescent="0.3">
      <c r="A2176" s="1" t="str">
        <f>"59"</f>
        <v>59</v>
      </c>
      <c r="B2176" s="4" t="str">
        <f>"SARL BRICOUT"</f>
        <v>SARL BRICOUT</v>
      </c>
      <c r="C2176" s="4">
        <v>428078810</v>
      </c>
      <c r="D2176" s="3" t="s">
        <v>0</v>
      </c>
      <c r="E2176" s="2" t="str">
        <f>"PR5900070D"</f>
        <v>PR5900070D</v>
      </c>
      <c r="F2176" s="5">
        <v>42062</v>
      </c>
      <c r="G2176" s="5">
        <v>54789</v>
      </c>
      <c r="H2176" s="4" t="str">
        <f>""</f>
        <v/>
      </c>
      <c r="I2176" s="4" t="str">
        <f>""</f>
        <v/>
      </c>
    </row>
    <row r="2177" spans="1:9" x14ac:dyDescent="0.3">
      <c r="A2177" s="1" t="str">
        <f>"59"</f>
        <v>59</v>
      </c>
      <c r="B2177" s="4" t="str">
        <f>"AUTO STOCK PIECES"</f>
        <v>AUTO STOCK PIECES</v>
      </c>
      <c r="C2177" s="4">
        <v>437904329</v>
      </c>
      <c r="D2177" s="3" t="s">
        <v>0</v>
      </c>
      <c r="E2177" s="2" t="str">
        <f>"0007004082"</f>
        <v>0007004082</v>
      </c>
      <c r="F2177" s="5">
        <v>43844</v>
      </c>
      <c r="G2177" s="5">
        <v>54789</v>
      </c>
      <c r="H2177" s="4" t="str">
        <f>""</f>
        <v/>
      </c>
      <c r="I2177" s="4" t="str">
        <f>""</f>
        <v/>
      </c>
    </row>
    <row r="2178" spans="1:9" x14ac:dyDescent="0.3">
      <c r="A2178" s="1" t="str">
        <f>"59"</f>
        <v>59</v>
      </c>
      <c r="B2178" s="4" t="str">
        <f>"AUTO STOCK PIECES"</f>
        <v>AUTO STOCK PIECES</v>
      </c>
      <c r="C2178" s="4">
        <v>437904329</v>
      </c>
      <c r="D2178" s="3" t="s">
        <v>0</v>
      </c>
      <c r="E2178" s="2" t="str">
        <f>"PR5900010D"</f>
        <v>PR5900010D</v>
      </c>
      <c r="F2178" s="5">
        <v>43844</v>
      </c>
      <c r="G2178" s="5">
        <v>54789</v>
      </c>
      <c r="H2178" s="4" t="str">
        <f>""</f>
        <v/>
      </c>
      <c r="I2178" s="4" t="str">
        <f>""</f>
        <v/>
      </c>
    </row>
    <row r="2179" spans="1:9" x14ac:dyDescent="0.3">
      <c r="A2179" s="1" t="str">
        <f>"59"</f>
        <v>59</v>
      </c>
      <c r="B2179" s="4" t="str">
        <f>"GALLOO LITTORAL"</f>
        <v>GALLOO LITTORAL</v>
      </c>
      <c r="C2179" s="4">
        <v>442377206</v>
      </c>
      <c r="D2179" s="3" t="s">
        <v>0</v>
      </c>
      <c r="E2179" s="2" t="str">
        <f>"PR5900065D"</f>
        <v>PR5900065D</v>
      </c>
      <c r="F2179" s="5">
        <v>41484</v>
      </c>
      <c r="G2179" s="5">
        <v>54789</v>
      </c>
      <c r="H2179" s="4" t="str">
        <f>""</f>
        <v/>
      </c>
      <c r="I2179" s="4" t="str">
        <f>""</f>
        <v/>
      </c>
    </row>
    <row r="2180" spans="1:9" x14ac:dyDescent="0.3">
      <c r="A2180" s="1" t="str">
        <f>"59"</f>
        <v>59</v>
      </c>
      <c r="B2180" s="4" t="str">
        <f>"GALLOO LITTORAL"</f>
        <v>GALLOO LITTORAL</v>
      </c>
      <c r="C2180" s="4">
        <v>442377206</v>
      </c>
      <c r="D2180" s="3" t="s">
        <v>0</v>
      </c>
      <c r="E2180" s="2" t="str">
        <f>"0007004362"</f>
        <v>0007004362</v>
      </c>
      <c r="F2180" s="5">
        <v>43644</v>
      </c>
      <c r="G2180" s="5">
        <v>54789</v>
      </c>
      <c r="H2180" s="4" t="str">
        <f>""</f>
        <v/>
      </c>
      <c r="I2180" s="4" t="str">
        <f>""</f>
        <v/>
      </c>
    </row>
    <row r="2181" spans="1:9" x14ac:dyDescent="0.3">
      <c r="A2181" s="1" t="str">
        <f>"59"</f>
        <v>59</v>
      </c>
      <c r="B2181" s="4" t="str">
        <f>"BAUDELET MATERIAUX"</f>
        <v>BAUDELET MATERIAUX</v>
      </c>
      <c r="C2181" s="4">
        <v>446450173</v>
      </c>
      <c r="D2181" s="3" t="s">
        <v>0</v>
      </c>
      <c r="E2181" s="2" t="str">
        <f>"PR5900075D"</f>
        <v>PR5900075D</v>
      </c>
      <c r="F2181" s="5">
        <v>42667</v>
      </c>
      <c r="G2181" s="5">
        <v>54789</v>
      </c>
      <c r="H2181" s="4" t="str">
        <f>""</f>
        <v/>
      </c>
      <c r="I2181" s="4" t="str">
        <f>""</f>
        <v/>
      </c>
    </row>
    <row r="2182" spans="1:9" x14ac:dyDescent="0.3">
      <c r="A2182" s="1" t="str">
        <f>"59"</f>
        <v>59</v>
      </c>
      <c r="B2182" s="4" t="str">
        <f>"BAUDELET HOLDING"</f>
        <v>BAUDELET HOLDING</v>
      </c>
      <c r="C2182" s="4">
        <v>446450173</v>
      </c>
      <c r="D2182" s="3" t="s">
        <v>0</v>
      </c>
      <c r="E2182" s="2" t="str">
        <f>"PR5900079D"</f>
        <v>PR5900079D</v>
      </c>
      <c r="F2182" s="5">
        <v>42941</v>
      </c>
      <c r="G2182" s="5">
        <v>54789</v>
      </c>
      <c r="H2182" s="4" t="str">
        <f>""</f>
        <v/>
      </c>
      <c r="I2182" s="4" t="str">
        <f>""</f>
        <v/>
      </c>
    </row>
    <row r="2183" spans="1:9" x14ac:dyDescent="0.3">
      <c r="A2183" s="1" t="str">
        <f>"59"</f>
        <v>59</v>
      </c>
      <c r="B2183" s="4" t="str">
        <f>"BAUDELET"</f>
        <v>BAUDELET</v>
      </c>
      <c r="C2183" s="4">
        <v>446450173</v>
      </c>
      <c r="D2183" s="3" t="s">
        <v>0</v>
      </c>
      <c r="E2183" s="2" t="str">
        <f>"PR5900007B"</f>
        <v>PR5900007B</v>
      </c>
      <c r="F2183" s="5">
        <v>42667</v>
      </c>
      <c r="G2183" s="5">
        <v>54789</v>
      </c>
      <c r="H2183" s="4" t="str">
        <f>""</f>
        <v/>
      </c>
      <c r="I2183" s="4" t="str">
        <f>""</f>
        <v/>
      </c>
    </row>
    <row r="2184" spans="1:9" x14ac:dyDescent="0.3">
      <c r="A2184" s="1" t="str">
        <f>"59"</f>
        <v>59</v>
      </c>
      <c r="B2184" s="4" t="str">
        <f>"MVU"</f>
        <v>MVU</v>
      </c>
      <c r="C2184" s="4">
        <v>452768013</v>
      </c>
      <c r="D2184" s="3" t="s">
        <v>0</v>
      </c>
      <c r="E2184" s="2" t="str">
        <f>"PR5900072D"</f>
        <v>PR5900072D</v>
      </c>
      <c r="F2184" s="5">
        <v>42146</v>
      </c>
      <c r="G2184" s="5">
        <v>54789</v>
      </c>
      <c r="H2184" s="4" t="str">
        <f>""</f>
        <v/>
      </c>
      <c r="I2184" s="4" t="str">
        <f>""</f>
        <v/>
      </c>
    </row>
    <row r="2185" spans="1:9" x14ac:dyDescent="0.3">
      <c r="A2185" s="1" t="str">
        <f>"59"</f>
        <v>59</v>
      </c>
      <c r="B2185" s="4" t="str">
        <f>"MVU"</f>
        <v>MVU</v>
      </c>
      <c r="C2185" s="4">
        <v>452768013</v>
      </c>
      <c r="D2185" s="3" t="s">
        <v>0</v>
      </c>
      <c r="E2185" s="2" t="str">
        <f>"0007004731"</f>
        <v>0007004731</v>
      </c>
      <c r="F2185" s="5">
        <v>42146</v>
      </c>
      <c r="G2185" s="5">
        <v>54789</v>
      </c>
      <c r="H2185" s="4" t="str">
        <f>""</f>
        <v/>
      </c>
      <c r="I2185" s="4" t="str">
        <f>""</f>
        <v/>
      </c>
    </row>
    <row r="2186" spans="1:9" x14ac:dyDescent="0.3">
      <c r="A2186" s="1" t="str">
        <f>"59"</f>
        <v>59</v>
      </c>
      <c r="B2186" s="4" t="str">
        <f>"SARL ETABLISSEMENTS GUY MARIN"</f>
        <v>SARL ETABLISSEMENTS GUY MARIN</v>
      </c>
      <c r="C2186" s="4">
        <v>452922123</v>
      </c>
      <c r="D2186" s="3" t="s">
        <v>0</v>
      </c>
      <c r="E2186" s="2" t="str">
        <f>"0007004020"</f>
        <v>0007004020</v>
      </c>
      <c r="F2186" s="5">
        <v>43288</v>
      </c>
      <c r="G2186" s="5">
        <v>54789</v>
      </c>
      <c r="H2186" s="4" t="str">
        <f>""</f>
        <v/>
      </c>
      <c r="I2186" s="4" t="str">
        <f>""</f>
        <v/>
      </c>
    </row>
    <row r="2187" spans="1:9" x14ac:dyDescent="0.3">
      <c r="A2187" s="1" t="str">
        <f>"59"</f>
        <v>59</v>
      </c>
      <c r="B2187" s="4" t="str">
        <f>"SARL ETABLISSEMENTS GUY MARIN"</f>
        <v>SARL ETABLISSEMENTS GUY MARIN</v>
      </c>
      <c r="C2187" s="4">
        <v>452922123</v>
      </c>
      <c r="D2187" s="3" t="s">
        <v>0</v>
      </c>
      <c r="E2187" s="2" t="str">
        <f>"PR5900019D"</f>
        <v>PR5900019D</v>
      </c>
      <c r="F2187" s="5">
        <v>43288</v>
      </c>
      <c r="G2187" s="5">
        <v>54789</v>
      </c>
      <c r="H2187" s="4" t="str">
        <f>""</f>
        <v/>
      </c>
      <c r="I2187" s="4" t="str">
        <f>""</f>
        <v/>
      </c>
    </row>
    <row r="2188" spans="1:9" x14ac:dyDescent="0.3">
      <c r="A2188" s="1" t="str">
        <f>"59"</f>
        <v>59</v>
      </c>
      <c r="B2188" s="4" t="str">
        <f>"SARL DELHEM CATHELLE"</f>
        <v>SARL DELHEM CATHELLE</v>
      </c>
      <c r="C2188" s="4">
        <v>477080972</v>
      </c>
      <c r="D2188" s="3" t="s">
        <v>0</v>
      </c>
      <c r="E2188" s="2" t="str">
        <f>"0007004317"</f>
        <v>0007004317</v>
      </c>
      <c r="F2188" s="5">
        <v>43284</v>
      </c>
      <c r="G2188" s="5">
        <v>54789</v>
      </c>
      <c r="H2188" s="4" t="str">
        <f>""</f>
        <v/>
      </c>
      <c r="I2188" s="4" t="str">
        <f>""</f>
        <v/>
      </c>
    </row>
    <row r="2189" spans="1:9" x14ac:dyDescent="0.3">
      <c r="A2189" s="1" t="str">
        <f>"59"</f>
        <v>59</v>
      </c>
      <c r="B2189" s="4" t="str">
        <f>"SARL DELHEM CATHELLE"</f>
        <v>SARL DELHEM CATHELLE</v>
      </c>
      <c r="C2189" s="4">
        <v>477080972</v>
      </c>
      <c r="D2189" s="3" t="s">
        <v>0</v>
      </c>
      <c r="E2189" s="2" t="str">
        <f>"PR5900011D"</f>
        <v>PR5900011D</v>
      </c>
      <c r="F2189" s="5">
        <v>43284</v>
      </c>
      <c r="G2189" s="5">
        <v>54789</v>
      </c>
      <c r="H2189" s="4" t="str">
        <f>""</f>
        <v/>
      </c>
      <c r="I2189" s="4" t="str">
        <f>""</f>
        <v/>
      </c>
    </row>
    <row r="2190" spans="1:9" x14ac:dyDescent="0.3">
      <c r="A2190" s="1" t="str">
        <f>"59"</f>
        <v>59</v>
      </c>
      <c r="B2190" s="4" t="str">
        <f>"DE ARAUJO PAREJO"</f>
        <v>DE ARAUJO PAREJO</v>
      </c>
      <c r="C2190" s="4">
        <v>480869635</v>
      </c>
      <c r="D2190" s="3" t="s">
        <v>0</v>
      </c>
      <c r="E2190" s="2" t="str">
        <f>"PR5900062D"</f>
        <v>PR5900062D</v>
      </c>
      <c r="F2190" s="5">
        <v>43801</v>
      </c>
      <c r="G2190" s="5">
        <v>54789</v>
      </c>
      <c r="H2190" s="4" t="str">
        <f>""</f>
        <v/>
      </c>
      <c r="I2190" s="4" t="str">
        <f>""</f>
        <v/>
      </c>
    </row>
    <row r="2191" spans="1:9" x14ac:dyDescent="0.3">
      <c r="A2191" s="1" t="str">
        <f>"59"</f>
        <v>59</v>
      </c>
      <c r="B2191" s="4" t="str">
        <f>"DE ARAUJO PAREJO"</f>
        <v>DE ARAUJO PAREJO</v>
      </c>
      <c r="C2191" s="4">
        <v>480869635</v>
      </c>
      <c r="D2191" s="3" t="s">
        <v>0</v>
      </c>
      <c r="E2191" s="2" t="str">
        <f>"0007004924"</f>
        <v>0007004924</v>
      </c>
      <c r="F2191" s="5">
        <v>43801</v>
      </c>
      <c r="G2191" s="5">
        <v>54789</v>
      </c>
      <c r="H2191" s="4" t="str">
        <f>""</f>
        <v/>
      </c>
      <c r="I2191" s="4" t="str">
        <f>""</f>
        <v/>
      </c>
    </row>
    <row r="2192" spans="1:9" x14ac:dyDescent="0.3">
      <c r="A2192" s="1" t="str">
        <f>"59"</f>
        <v>59</v>
      </c>
      <c r="B2192" s="4" t="str">
        <f>"JC FER"</f>
        <v>JC FER</v>
      </c>
      <c r="C2192" s="4">
        <v>499275881</v>
      </c>
      <c r="D2192" s="3" t="s">
        <v>0</v>
      </c>
      <c r="E2192" s="2" t="str">
        <f>"PR5900073D"</f>
        <v>PR5900073D</v>
      </c>
      <c r="F2192" s="5">
        <v>42171</v>
      </c>
      <c r="G2192" s="5">
        <v>54789</v>
      </c>
      <c r="H2192" s="4" t="str">
        <f>""</f>
        <v/>
      </c>
      <c r="I2192" s="4" t="str">
        <f>""</f>
        <v/>
      </c>
    </row>
    <row r="2193" spans="1:9" x14ac:dyDescent="0.3">
      <c r="A2193" s="1" t="str">
        <f>"59"</f>
        <v>59</v>
      </c>
      <c r="B2193" s="4" t="str">
        <f>"JC FER"</f>
        <v>JC FER</v>
      </c>
      <c r="C2193" s="4">
        <v>499275881</v>
      </c>
      <c r="D2193" s="3" t="s">
        <v>0</v>
      </c>
      <c r="E2193" s="2" t="str">
        <f>"0007004077"</f>
        <v>0007004077</v>
      </c>
      <c r="F2193" s="5">
        <v>42171</v>
      </c>
      <c r="G2193" s="5">
        <v>54789</v>
      </c>
      <c r="H2193" s="4" t="str">
        <f>""</f>
        <v/>
      </c>
      <c r="I2193" s="4" t="str">
        <f>""</f>
        <v/>
      </c>
    </row>
    <row r="2194" spans="1:9" x14ac:dyDescent="0.3">
      <c r="A2194" s="1" t="str">
        <f>"59"</f>
        <v>59</v>
      </c>
      <c r="B2194" s="4" t="str">
        <f>"SERET AUTOMOBILES"</f>
        <v>SERET AUTOMOBILES</v>
      </c>
      <c r="C2194" s="4">
        <v>504058306</v>
      </c>
      <c r="D2194" s="3" t="s">
        <v>0</v>
      </c>
      <c r="E2194" s="2" t="str">
        <f>"0007004088"</f>
        <v>0007004088</v>
      </c>
      <c r="F2194" s="5">
        <v>41883</v>
      </c>
      <c r="G2194" s="5">
        <v>54789</v>
      </c>
      <c r="H2194" s="4" t="str">
        <f>""</f>
        <v/>
      </c>
      <c r="I2194" s="4" t="str">
        <f>""</f>
        <v/>
      </c>
    </row>
    <row r="2195" spans="1:9" x14ac:dyDescent="0.3">
      <c r="A2195" s="1" t="str">
        <f>"59"</f>
        <v>59</v>
      </c>
      <c r="B2195" s="4" t="str">
        <f>"SERET AUTOMOBILES"</f>
        <v>SERET AUTOMOBILES</v>
      </c>
      <c r="C2195" s="4">
        <v>504058306</v>
      </c>
      <c r="D2195" s="3" t="s">
        <v>0</v>
      </c>
      <c r="E2195" s="2" t="str">
        <f>"PR5900037D"</f>
        <v>PR5900037D</v>
      </c>
      <c r="F2195" s="5">
        <v>41883</v>
      </c>
      <c r="G2195" s="5">
        <v>54789</v>
      </c>
      <c r="H2195" s="4" t="str">
        <f>""</f>
        <v/>
      </c>
      <c r="I2195" s="4" t="str">
        <f>""</f>
        <v/>
      </c>
    </row>
    <row r="2196" spans="1:9" x14ac:dyDescent="0.3">
      <c r="A2196" s="1" t="str">
        <f>"59"</f>
        <v>59</v>
      </c>
      <c r="B2196" s="4" t="str">
        <f>"SAS SOLUVAL"</f>
        <v>SAS SOLUVAL</v>
      </c>
      <c r="C2196" s="4">
        <v>512602459</v>
      </c>
      <c r="D2196" s="3" t="s">
        <v>0</v>
      </c>
      <c r="E2196" s="2" t="str">
        <f>"0007004028"</f>
        <v>0007004028</v>
      </c>
      <c r="F2196" s="5">
        <v>42832</v>
      </c>
      <c r="G2196" s="5">
        <v>54789</v>
      </c>
      <c r="H2196" s="4" t="str">
        <f>""</f>
        <v/>
      </c>
      <c r="I2196" s="4" t="str">
        <f>""</f>
        <v/>
      </c>
    </row>
    <row r="2197" spans="1:9" x14ac:dyDescent="0.3">
      <c r="A2197" s="1" t="str">
        <f>"59"</f>
        <v>59</v>
      </c>
      <c r="B2197" s="4" t="str">
        <f>"SAS SOLUVAL"</f>
        <v>SAS SOLUVAL</v>
      </c>
      <c r="C2197" s="4">
        <v>512602459</v>
      </c>
      <c r="D2197" s="3" t="s">
        <v>0</v>
      </c>
      <c r="E2197" s="2" t="str">
        <f>"PR5900008D"</f>
        <v>PR5900008D</v>
      </c>
      <c r="F2197" s="5">
        <v>42775</v>
      </c>
      <c r="G2197" s="5">
        <v>54789</v>
      </c>
      <c r="H2197" s="4" t="str">
        <f>""</f>
        <v/>
      </c>
      <c r="I2197" s="4" t="str">
        <f>""</f>
        <v/>
      </c>
    </row>
    <row r="2198" spans="1:9" x14ac:dyDescent="0.3">
      <c r="A2198" s="1" t="str">
        <f>"59"</f>
        <v>59</v>
      </c>
      <c r="B2198" s="4" t="str">
        <f>"SARL LECROARD"</f>
        <v>SARL LECROARD</v>
      </c>
      <c r="C2198" s="4">
        <v>513565127</v>
      </c>
      <c r="D2198" s="3" t="s">
        <v>0</v>
      </c>
      <c r="E2198" s="2" t="str">
        <f>"PR5900025D"</f>
        <v>PR5900025D</v>
      </c>
      <c r="F2198" s="5">
        <v>43252</v>
      </c>
      <c r="G2198" s="5">
        <v>54789</v>
      </c>
      <c r="H2198" s="4" t="str">
        <f>""</f>
        <v/>
      </c>
      <c r="I2198" s="4" t="str">
        <f>""</f>
        <v/>
      </c>
    </row>
    <row r="2199" spans="1:9" x14ac:dyDescent="0.3">
      <c r="A2199" s="1" t="str">
        <f>"59"</f>
        <v>59</v>
      </c>
      <c r="B2199" s="4" t="str">
        <f>"SARL LECROARD"</f>
        <v>SARL LECROARD</v>
      </c>
      <c r="C2199" s="4">
        <v>513565127</v>
      </c>
      <c r="D2199" s="3" t="s">
        <v>0</v>
      </c>
      <c r="E2199" s="2" t="str">
        <f>"0007004016"</f>
        <v>0007004016</v>
      </c>
      <c r="F2199" s="5">
        <v>43252</v>
      </c>
      <c r="G2199" s="5">
        <v>54789</v>
      </c>
      <c r="H2199" s="4" t="str">
        <f>""</f>
        <v/>
      </c>
      <c r="I2199" s="4" t="str">
        <f>""</f>
        <v/>
      </c>
    </row>
    <row r="2200" spans="1:9" x14ac:dyDescent="0.3">
      <c r="A2200" s="1" t="str">
        <f>"59"</f>
        <v>59</v>
      </c>
      <c r="B2200" s="4" t="str">
        <f>"SARL 59 RECUP"</f>
        <v>SARL 59 RECUP</v>
      </c>
      <c r="C2200" s="4">
        <v>531274579</v>
      </c>
      <c r="D2200" s="3" t="s">
        <v>0</v>
      </c>
      <c r="E2200" s="2" t="str">
        <f>"PR5900028D"</f>
        <v>PR5900028D</v>
      </c>
      <c r="F2200" s="5">
        <v>42151</v>
      </c>
      <c r="G2200" s="5">
        <v>54789</v>
      </c>
      <c r="H2200" s="4" t="str">
        <f>""</f>
        <v/>
      </c>
      <c r="I2200" s="4" t="str">
        <f>""</f>
        <v/>
      </c>
    </row>
    <row r="2201" spans="1:9" x14ac:dyDescent="0.3">
      <c r="A2201" s="1" t="str">
        <f>"59"</f>
        <v>59</v>
      </c>
      <c r="B2201" s="4" t="str">
        <f>"SARL 59 RECUP"</f>
        <v>SARL 59 RECUP</v>
      </c>
      <c r="C2201" s="4">
        <v>531274579</v>
      </c>
      <c r="D2201" s="3" t="s">
        <v>0</v>
      </c>
      <c r="E2201" s="2" t="str">
        <f>"0007004095"</f>
        <v>0007004095</v>
      </c>
      <c r="F2201" s="5">
        <v>42151</v>
      </c>
      <c r="G2201" s="5">
        <v>54789</v>
      </c>
      <c r="H2201" s="4" t="str">
        <f>""</f>
        <v/>
      </c>
      <c r="I2201" s="4" t="str">
        <f>""</f>
        <v/>
      </c>
    </row>
    <row r="2202" spans="1:9" x14ac:dyDescent="0.3">
      <c r="A2202" s="1" t="str">
        <f>"59"</f>
        <v>59</v>
      </c>
      <c r="B2202" s="4" t="str">
        <f>"DEL PIECES AUTO"</f>
        <v>DEL PIECES AUTO</v>
      </c>
      <c r="C2202" s="4">
        <v>532836772</v>
      </c>
      <c r="D2202" s="3" t="s">
        <v>0</v>
      </c>
      <c r="E2202" s="2" t="str">
        <f>"PR5900069D"</f>
        <v>PR5900069D</v>
      </c>
      <c r="F2202" s="5">
        <v>41975</v>
      </c>
      <c r="G2202" s="5">
        <v>54789</v>
      </c>
      <c r="H2202" s="4" t="str">
        <f>""</f>
        <v/>
      </c>
      <c r="I2202" s="4" t="str">
        <f>""</f>
        <v/>
      </c>
    </row>
    <row r="2203" spans="1:9" x14ac:dyDescent="0.3">
      <c r="A2203" s="1" t="str">
        <f>"59"</f>
        <v>59</v>
      </c>
      <c r="B2203" s="4" t="str">
        <f>"DEL PIECES AUTO"</f>
        <v>DEL PIECES AUTO</v>
      </c>
      <c r="C2203" s="4">
        <v>532836772</v>
      </c>
      <c r="D2203" s="3" t="s">
        <v>0</v>
      </c>
      <c r="E2203" s="2" t="str">
        <f>"0007005389"</f>
        <v>0007005389</v>
      </c>
      <c r="F2203" s="5">
        <v>41975</v>
      </c>
      <c r="G2203" s="5">
        <v>54789</v>
      </c>
      <c r="H2203" s="4" t="str">
        <f>""</f>
        <v/>
      </c>
      <c r="I2203" s="4" t="str">
        <f>""</f>
        <v/>
      </c>
    </row>
    <row r="2204" spans="1:9" x14ac:dyDescent="0.3">
      <c r="A2204" s="1" t="str">
        <f>"59"</f>
        <v>59</v>
      </c>
      <c r="B2204" s="4" t="str">
        <f>"VAG PARTS"</f>
        <v>VAG PARTS</v>
      </c>
      <c r="C2204" s="4">
        <v>538574575</v>
      </c>
      <c r="D2204" s="3" t="s">
        <v>0</v>
      </c>
      <c r="E2204" s="2" t="str">
        <f>"PR5900077D"</f>
        <v>PR5900077D</v>
      </c>
      <c r="F2204" s="5">
        <v>42772</v>
      </c>
      <c r="G2204" s="5">
        <v>54789</v>
      </c>
      <c r="H2204" s="4" t="str">
        <f>""</f>
        <v/>
      </c>
      <c r="I2204" s="4" t="str">
        <f>""</f>
        <v/>
      </c>
    </row>
    <row r="2205" spans="1:9" x14ac:dyDescent="0.3">
      <c r="A2205" s="1" t="str">
        <f>"59"</f>
        <v>59</v>
      </c>
      <c r="B2205" s="4" t="str">
        <f>"VAG PARTS"</f>
        <v>VAG PARTS</v>
      </c>
      <c r="C2205" s="4">
        <v>538574575</v>
      </c>
      <c r="D2205" s="3" t="s">
        <v>0</v>
      </c>
      <c r="E2205" s="2" t="str">
        <f>"0003800588"</f>
        <v>0003800588</v>
      </c>
      <c r="F2205" s="5">
        <v>42772</v>
      </c>
      <c r="G2205" s="5">
        <v>54789</v>
      </c>
      <c r="H2205" s="4" t="str">
        <f>""</f>
        <v/>
      </c>
      <c r="I2205" s="4" t="str">
        <f>""</f>
        <v/>
      </c>
    </row>
    <row r="2206" spans="1:9" x14ac:dyDescent="0.3">
      <c r="A2206" s="1" t="str">
        <f>"59"</f>
        <v>59</v>
      </c>
      <c r="B2206" s="4" t="str">
        <f>"REVIVAL"</f>
        <v>REVIVAL</v>
      </c>
      <c r="C2206" s="4">
        <v>616620092</v>
      </c>
      <c r="D2206" s="3" t="s">
        <v>0</v>
      </c>
      <c r="E2206" s="2" t="str">
        <f>"PR5900042D"</f>
        <v>PR5900042D</v>
      </c>
      <c r="F2206" s="5">
        <v>42039</v>
      </c>
      <c r="G2206" s="5">
        <v>54789</v>
      </c>
      <c r="H2206" s="4" t="str">
        <f>""</f>
        <v/>
      </c>
      <c r="I2206" s="4" t="str">
        <f>""</f>
        <v/>
      </c>
    </row>
    <row r="2207" spans="1:9" x14ac:dyDescent="0.3">
      <c r="A2207" s="1" t="str">
        <f>"59"</f>
        <v>59</v>
      </c>
      <c r="B2207" s="4" t="str">
        <f>"REVIVAL"</f>
        <v>REVIVAL</v>
      </c>
      <c r="C2207" s="4">
        <v>616620092</v>
      </c>
      <c r="D2207" s="3" t="s">
        <v>0</v>
      </c>
      <c r="E2207" s="2" t="str">
        <f>"PR5900060D"</f>
        <v>PR5900060D</v>
      </c>
      <c r="F2207" s="5">
        <v>41913</v>
      </c>
      <c r="G2207" s="5">
        <v>54789</v>
      </c>
      <c r="H2207" s="4" t="str">
        <f>""</f>
        <v/>
      </c>
      <c r="I2207" s="4" t="str">
        <f>""</f>
        <v/>
      </c>
    </row>
    <row r="2208" spans="1:9" x14ac:dyDescent="0.3">
      <c r="A2208" s="1" t="str">
        <f>"59"</f>
        <v>59</v>
      </c>
      <c r="B2208" s="4" t="str">
        <f>"REVIVAL"</f>
        <v>REVIVAL</v>
      </c>
      <c r="C2208" s="4">
        <v>616620092</v>
      </c>
      <c r="D2208" s="3" t="s">
        <v>0</v>
      </c>
      <c r="E2208" s="2" t="str">
        <f>"PR5900071D"</f>
        <v>PR5900071D</v>
      </c>
      <c r="F2208" s="5">
        <v>42135</v>
      </c>
      <c r="G2208" s="5">
        <v>54789</v>
      </c>
      <c r="H2208" s="4" t="str">
        <f>""</f>
        <v/>
      </c>
      <c r="I2208" s="4" t="str">
        <f>""</f>
        <v/>
      </c>
    </row>
    <row r="2209" spans="1:9" x14ac:dyDescent="0.3">
      <c r="A2209" s="1" t="str">
        <f>"59"</f>
        <v>59</v>
      </c>
      <c r="B2209" s="4" t="str">
        <f>"REVIVAL"</f>
        <v>REVIVAL</v>
      </c>
      <c r="C2209" s="4">
        <v>616620092</v>
      </c>
      <c r="D2209" s="3" t="s">
        <v>0</v>
      </c>
      <c r="E2209" s="2" t="str">
        <f>"PR5900081D"</f>
        <v>PR5900081D</v>
      </c>
      <c r="F2209" s="5">
        <v>43090</v>
      </c>
      <c r="G2209" s="5">
        <v>54789</v>
      </c>
      <c r="H2209" s="4" t="str">
        <f>""</f>
        <v/>
      </c>
      <c r="I2209" s="4" t="str">
        <f>""</f>
        <v/>
      </c>
    </row>
    <row r="2210" spans="1:9" x14ac:dyDescent="0.3">
      <c r="A2210" s="1" t="str">
        <f>"59"</f>
        <v>59</v>
      </c>
      <c r="B2210" s="4" t="str">
        <f>"REVIVAL"</f>
        <v>REVIVAL</v>
      </c>
      <c r="C2210" s="4">
        <v>616620092</v>
      </c>
      <c r="D2210" s="3" t="s">
        <v>0</v>
      </c>
      <c r="E2210" s="2" t="str">
        <f>"0007004071"</f>
        <v>0007004071</v>
      </c>
      <c r="F2210" s="5">
        <v>43433</v>
      </c>
      <c r="G2210" s="5">
        <v>54789</v>
      </c>
      <c r="H2210" s="4" t="str">
        <f>""</f>
        <v/>
      </c>
      <c r="I2210" s="4" t="str">
        <f>""</f>
        <v/>
      </c>
    </row>
    <row r="2211" spans="1:9" x14ac:dyDescent="0.3">
      <c r="A2211" s="1" t="str">
        <f>"59"</f>
        <v>59</v>
      </c>
      <c r="B2211" s="4" t="str">
        <f>"REVIVAL"</f>
        <v>REVIVAL</v>
      </c>
      <c r="C2211" s="4">
        <v>616620092</v>
      </c>
      <c r="D2211" s="3" t="s">
        <v>0</v>
      </c>
      <c r="E2211" s="2" t="str">
        <f>"PR5900004B"</f>
        <v>PR5900004B</v>
      </c>
      <c r="F2211" s="5">
        <v>41913</v>
      </c>
      <c r="G2211" s="5">
        <v>54789</v>
      </c>
      <c r="H2211" s="4" t="str">
        <f>""</f>
        <v/>
      </c>
      <c r="I2211" s="4" t="str">
        <f>""</f>
        <v/>
      </c>
    </row>
    <row r="2212" spans="1:9" x14ac:dyDescent="0.3">
      <c r="A2212" s="1" t="str">
        <f>"59"</f>
        <v>59</v>
      </c>
      <c r="B2212" s="4" t="str">
        <f>"REVIVAL"</f>
        <v>REVIVAL</v>
      </c>
      <c r="C2212" s="4">
        <v>616620092</v>
      </c>
      <c r="D2212" s="3" t="s">
        <v>0</v>
      </c>
      <c r="E2212" s="2" t="str">
        <f>"0007004228"</f>
        <v>0007004228</v>
      </c>
      <c r="F2212" s="5">
        <v>42039</v>
      </c>
      <c r="G2212" s="5">
        <v>54789</v>
      </c>
      <c r="H2212" s="4" t="str">
        <f>""</f>
        <v/>
      </c>
      <c r="I2212" s="4" t="str">
        <f>""</f>
        <v/>
      </c>
    </row>
    <row r="2213" spans="1:9" x14ac:dyDescent="0.3">
      <c r="A2213" s="1" t="str">
        <f>"59"</f>
        <v>59</v>
      </c>
      <c r="B2213" s="4" t="str">
        <f>"REVIVAL"</f>
        <v>REVIVAL</v>
      </c>
      <c r="C2213" s="4">
        <v>616620092</v>
      </c>
      <c r="D2213" s="3" t="s">
        <v>0</v>
      </c>
      <c r="E2213" s="2" t="str">
        <f>"0007004290"</f>
        <v>0007004290</v>
      </c>
      <c r="F2213" s="5">
        <v>41913</v>
      </c>
      <c r="G2213" s="5">
        <v>54789</v>
      </c>
      <c r="H2213" s="4" t="str">
        <f>""</f>
        <v/>
      </c>
      <c r="I2213" s="4" t="str">
        <f>""</f>
        <v/>
      </c>
    </row>
    <row r="2214" spans="1:9" x14ac:dyDescent="0.3">
      <c r="A2214" s="1" t="str">
        <f>"59"</f>
        <v>59</v>
      </c>
      <c r="B2214" s="4" t="str">
        <f>"REVIVAL"</f>
        <v>REVIVAL</v>
      </c>
      <c r="C2214" s="4">
        <v>616620092</v>
      </c>
      <c r="D2214" s="3" t="s">
        <v>0</v>
      </c>
      <c r="E2214" s="2" t="str">
        <f>"0007004110"</f>
        <v>0007004110</v>
      </c>
      <c r="F2214" s="5">
        <v>41913</v>
      </c>
      <c r="G2214" s="5">
        <v>54789</v>
      </c>
      <c r="H2214" s="4" t="str">
        <f>""</f>
        <v/>
      </c>
      <c r="I2214" s="4" t="str">
        <f>""</f>
        <v/>
      </c>
    </row>
    <row r="2215" spans="1:9" x14ac:dyDescent="0.3">
      <c r="A2215" s="1" t="str">
        <f>"59"</f>
        <v>59</v>
      </c>
      <c r="B2215" s="4" t="str">
        <f>"REVIVAL"</f>
        <v>REVIVAL</v>
      </c>
      <c r="C2215" s="4">
        <v>616620092</v>
      </c>
      <c r="D2215" s="3" t="s">
        <v>0</v>
      </c>
      <c r="E2215" s="2" t="str">
        <f>"0007004046"</f>
        <v>0007004046</v>
      </c>
      <c r="F2215" s="5">
        <v>41913</v>
      </c>
      <c r="G2215" s="5">
        <v>54789</v>
      </c>
      <c r="H2215" s="4" t="str">
        <f>""</f>
        <v/>
      </c>
      <c r="I2215" s="4" t="str">
        <f>""</f>
        <v/>
      </c>
    </row>
    <row r="2216" spans="1:9" x14ac:dyDescent="0.3">
      <c r="A2216" s="1" t="str">
        <f>"59"</f>
        <v>59</v>
      </c>
      <c r="B2216" s="4" t="str">
        <f>"REVIVAL"</f>
        <v>REVIVAL</v>
      </c>
      <c r="C2216" s="4">
        <v>616620092</v>
      </c>
      <c r="D2216" s="3" t="s">
        <v>0</v>
      </c>
      <c r="E2216" s="2" t="str">
        <f>"0007002242"</f>
        <v>0007002242</v>
      </c>
      <c r="F2216" s="5">
        <v>43090</v>
      </c>
      <c r="G2216" s="5">
        <v>54789</v>
      </c>
      <c r="H2216" s="4" t="str">
        <f>""</f>
        <v/>
      </c>
      <c r="I2216" s="4" t="str">
        <f>""</f>
        <v/>
      </c>
    </row>
    <row r="2217" spans="1:9" x14ac:dyDescent="0.3">
      <c r="A2217" s="1" t="str">
        <f>"59"</f>
        <v>59</v>
      </c>
      <c r="B2217" s="4" t="str">
        <f>"REVIVAL"</f>
        <v>REVIVAL</v>
      </c>
      <c r="C2217" s="4">
        <v>616620092</v>
      </c>
      <c r="D2217" s="3" t="s">
        <v>0</v>
      </c>
      <c r="E2217" s="2" t="str">
        <f>"0007004265"</f>
        <v>0007004265</v>
      </c>
      <c r="F2217" s="5">
        <v>42135</v>
      </c>
      <c r="G2217" s="5">
        <v>54789</v>
      </c>
      <c r="H2217" s="4" t="str">
        <f>""</f>
        <v/>
      </c>
      <c r="I2217" s="4" t="str">
        <f>""</f>
        <v/>
      </c>
    </row>
    <row r="2218" spans="1:9" x14ac:dyDescent="0.3">
      <c r="A2218" s="1" t="str">
        <f>"59"</f>
        <v>59</v>
      </c>
      <c r="B2218" s="4" t="str">
        <f>"REVIVAL"</f>
        <v>REVIVAL</v>
      </c>
      <c r="C2218" s="4">
        <v>616620092</v>
      </c>
      <c r="D2218" s="3" t="s">
        <v>0</v>
      </c>
      <c r="E2218" s="2" t="str">
        <f>"PR5900016D"</f>
        <v>PR5900016D</v>
      </c>
      <c r="F2218" s="5">
        <v>41913</v>
      </c>
      <c r="G2218" s="5">
        <v>54789</v>
      </c>
      <c r="H2218" s="4" t="str">
        <f>""</f>
        <v/>
      </c>
      <c r="I2218" s="4" t="str">
        <f>""</f>
        <v/>
      </c>
    </row>
    <row r="2219" spans="1:9" x14ac:dyDescent="0.3">
      <c r="A2219" s="1" t="str">
        <f>"59"</f>
        <v>59</v>
      </c>
      <c r="B2219" s="4" t="str">
        <f>"REVIVAL"</f>
        <v>REVIVAL</v>
      </c>
      <c r="C2219" s="4">
        <v>616620092</v>
      </c>
      <c r="D2219" s="3" t="s">
        <v>0</v>
      </c>
      <c r="E2219" s="2" t="str">
        <f>"PR5900017D"</f>
        <v>PR5900017D</v>
      </c>
      <c r="F2219" s="5">
        <v>41913</v>
      </c>
      <c r="G2219" s="5">
        <v>54789</v>
      </c>
      <c r="H2219" s="4" t="str">
        <f>""</f>
        <v/>
      </c>
      <c r="I2219" s="4" t="str">
        <f>""</f>
        <v/>
      </c>
    </row>
    <row r="2220" spans="1:9" x14ac:dyDescent="0.3">
      <c r="A2220" s="1" t="str">
        <f>"59"</f>
        <v>59</v>
      </c>
      <c r="B2220" s="4" t="str">
        <f>"REVIVAL"</f>
        <v>REVIVAL</v>
      </c>
      <c r="C2220" s="4">
        <v>616620092</v>
      </c>
      <c r="D2220" s="3" t="s">
        <v>0</v>
      </c>
      <c r="E2220" s="2" t="str">
        <f>"PR5900018D"</f>
        <v>PR5900018D</v>
      </c>
      <c r="F2220" s="5">
        <v>41913</v>
      </c>
      <c r="G2220" s="5">
        <v>54789</v>
      </c>
      <c r="H2220" s="4" t="str">
        <f>""</f>
        <v/>
      </c>
      <c r="I2220" s="4" t="str">
        <f>""</f>
        <v/>
      </c>
    </row>
    <row r="2221" spans="1:9" x14ac:dyDescent="0.3">
      <c r="A2221" s="1" t="str">
        <f>"59"</f>
        <v>59</v>
      </c>
      <c r="B2221" s="4" t="str">
        <f>"GERONIMO"</f>
        <v>GERONIMO</v>
      </c>
      <c r="C2221" s="4">
        <v>794539114</v>
      </c>
      <c r="D2221" s="3" t="s">
        <v>0</v>
      </c>
      <c r="E2221" s="2" t="str">
        <f>"PR5900080D"</f>
        <v>PR5900080D</v>
      </c>
      <c r="F2221" s="5">
        <v>39437</v>
      </c>
      <c r="G2221" s="5">
        <v>54789</v>
      </c>
      <c r="H2221" s="4" t="str">
        <f>""</f>
        <v/>
      </c>
      <c r="I2221" s="4" t="str">
        <f>""</f>
        <v/>
      </c>
    </row>
    <row r="2222" spans="1:9" x14ac:dyDescent="0.3">
      <c r="A2222" s="1" t="str">
        <f>"59"</f>
        <v>59</v>
      </c>
      <c r="B2222" s="4" t="str">
        <f>"GERONIMO"</f>
        <v>GERONIMO</v>
      </c>
      <c r="C2222" s="4">
        <v>794539114</v>
      </c>
      <c r="D2222" s="3" t="s">
        <v>0</v>
      </c>
      <c r="E2222" s="2" t="str">
        <f>"0003800863"</f>
        <v>0003800863</v>
      </c>
      <c r="F2222" s="5">
        <v>43090</v>
      </c>
      <c r="G2222" s="5">
        <v>54789</v>
      </c>
      <c r="H2222" s="4" t="str">
        <f>""</f>
        <v/>
      </c>
      <c r="I2222" s="4" t="str">
        <f>""</f>
        <v/>
      </c>
    </row>
    <row r="2223" spans="1:9" x14ac:dyDescent="0.3">
      <c r="A2223" s="1" t="str">
        <f>"59"</f>
        <v>59</v>
      </c>
      <c r="B2223" s="4" t="str">
        <f>"SAS RIEZ COLLERET"</f>
        <v>SAS RIEZ COLLERET</v>
      </c>
      <c r="C2223" s="4">
        <v>800918773</v>
      </c>
      <c r="D2223" s="3" t="s">
        <v>0</v>
      </c>
      <c r="E2223" s="2" t="str">
        <f>"0007004027"</f>
        <v>0007004027</v>
      </c>
      <c r="F2223" s="5">
        <v>43507</v>
      </c>
      <c r="G2223" s="5">
        <v>54789</v>
      </c>
      <c r="H2223" s="4" t="str">
        <f>""</f>
        <v/>
      </c>
      <c r="I2223" s="4" t="str">
        <f>""</f>
        <v/>
      </c>
    </row>
    <row r="2224" spans="1:9" x14ac:dyDescent="0.3">
      <c r="A2224" s="1" t="str">
        <f>"59"</f>
        <v>59</v>
      </c>
      <c r="B2224" s="4" t="str">
        <f>"SAS RIEZ COLLERET"</f>
        <v>SAS RIEZ COLLERET</v>
      </c>
      <c r="C2224" s="4">
        <v>800918773</v>
      </c>
      <c r="D2224" s="3" t="s">
        <v>0</v>
      </c>
      <c r="E2224" s="2" t="str">
        <f>"PR5900009D"</f>
        <v>PR5900009D</v>
      </c>
      <c r="F2224" s="5">
        <v>43507</v>
      </c>
      <c r="G2224" s="5">
        <v>54789</v>
      </c>
      <c r="H2224" s="4" t="str">
        <f>""</f>
        <v/>
      </c>
      <c r="I2224" s="4" t="str">
        <f>""</f>
        <v/>
      </c>
    </row>
    <row r="2225" spans="1:9" x14ac:dyDescent="0.3">
      <c r="A2225" s="1" t="str">
        <f>"59"</f>
        <v>59</v>
      </c>
      <c r="B2225" s="4" t="str">
        <f>"DAMACARS"</f>
        <v>DAMACARS</v>
      </c>
      <c r="C2225" s="4">
        <v>809740723</v>
      </c>
      <c r="D2225" s="3" t="s">
        <v>0</v>
      </c>
      <c r="E2225" s="2" t="str">
        <f>"PR5900076D"</f>
        <v>PR5900076D</v>
      </c>
      <c r="F2225" s="5">
        <v>42711</v>
      </c>
      <c r="G2225" s="5">
        <v>54789</v>
      </c>
      <c r="H2225" s="4" t="str">
        <f>""</f>
        <v/>
      </c>
      <c r="I2225" s="4" t="str">
        <f>""</f>
        <v/>
      </c>
    </row>
    <row r="2226" spans="1:9" x14ac:dyDescent="0.3">
      <c r="A2226" s="1" t="str">
        <f>"59"</f>
        <v>59</v>
      </c>
      <c r="B2226" s="4" t="str">
        <f>"DAMACARS"</f>
        <v>DAMACARS</v>
      </c>
      <c r="C2226" s="4">
        <v>809740723</v>
      </c>
      <c r="D2226" s="3" t="s">
        <v>0</v>
      </c>
      <c r="E2226" s="2" t="str">
        <f>"0003800583"</f>
        <v>0003800583</v>
      </c>
      <c r="F2226" s="5">
        <v>42711</v>
      </c>
      <c r="G2226" s="5">
        <v>54789</v>
      </c>
      <c r="H2226" s="4" t="str">
        <f>""</f>
        <v/>
      </c>
      <c r="I2226" s="4" t="str">
        <f>""</f>
        <v/>
      </c>
    </row>
    <row r="2227" spans="1:9" x14ac:dyDescent="0.3">
      <c r="A2227" s="1" t="str">
        <f>"59"</f>
        <v>59</v>
      </c>
      <c r="B2227" s="4" t="str">
        <f>"RECYCLAGE ECOLOGIQUE METAUX ET DECHETS"</f>
        <v>RECYCLAGE ECOLOGIQUE METAUX ET DECHETS</v>
      </c>
      <c r="C2227" s="4">
        <v>809967490</v>
      </c>
      <c r="D2227" s="3" t="s">
        <v>0</v>
      </c>
      <c r="E2227" s="2" t="str">
        <f>"PR5900082D"</f>
        <v>PR5900082D</v>
      </c>
      <c r="F2227" s="5">
        <v>43109</v>
      </c>
      <c r="G2227" s="5">
        <v>54789</v>
      </c>
      <c r="H2227" s="4" t="str">
        <f>""</f>
        <v/>
      </c>
      <c r="I2227" s="4" t="str">
        <f>""</f>
        <v/>
      </c>
    </row>
    <row r="2228" spans="1:9" x14ac:dyDescent="0.3">
      <c r="A2228" s="1" t="str">
        <f>"59"</f>
        <v>59</v>
      </c>
      <c r="B2228" s="4" t="str">
        <f>"RECYCLAGE ECOLOGIQUE METAUX ET DECHETS"</f>
        <v>RECYCLAGE ECOLOGIQUE METAUX ET DECHETS</v>
      </c>
      <c r="C2228" s="4">
        <v>809967490</v>
      </c>
      <c r="D2228" s="3" t="s">
        <v>0</v>
      </c>
      <c r="E2228" s="2" t="str">
        <f>"0007003918"</f>
        <v>0007003918</v>
      </c>
      <c r="F2228" s="5">
        <v>43109</v>
      </c>
      <c r="G2228" s="5">
        <v>54789</v>
      </c>
      <c r="H2228" s="4" t="str">
        <f>""</f>
        <v/>
      </c>
      <c r="I2228" s="4" t="str">
        <f>""</f>
        <v/>
      </c>
    </row>
    <row r="2229" spans="1:9" x14ac:dyDescent="0.3">
      <c r="A2229" s="1" t="str">
        <f>"59"</f>
        <v>59</v>
      </c>
      <c r="B2229" s="4" t="str">
        <f>"METALTECH"</f>
        <v>METALTECH</v>
      </c>
      <c r="C2229" s="4">
        <v>813412921</v>
      </c>
      <c r="D2229" s="3" t="s">
        <v>0</v>
      </c>
      <c r="E2229" s="2" t="str">
        <f>"PR5900085D"</f>
        <v>PR5900085D</v>
      </c>
      <c r="F2229" s="5">
        <v>43966</v>
      </c>
      <c r="G2229" s="5">
        <v>54789</v>
      </c>
      <c r="H2229" s="4" t="str">
        <f>""</f>
        <v/>
      </c>
      <c r="I2229" s="4" t="str">
        <f>""</f>
        <v/>
      </c>
    </row>
    <row r="2230" spans="1:9" x14ac:dyDescent="0.3">
      <c r="A2230" s="1" t="str">
        <f>"59"</f>
        <v>59</v>
      </c>
      <c r="B2230" s="4" t="str">
        <f>"METALTECH"</f>
        <v>METALTECH</v>
      </c>
      <c r="C2230" s="4">
        <v>813412921</v>
      </c>
      <c r="D2230" s="3" t="s">
        <v>0</v>
      </c>
      <c r="E2230" s="2" t="str">
        <f>"0003801651"</f>
        <v>0003801651</v>
      </c>
      <c r="F2230" s="5">
        <v>43966</v>
      </c>
      <c r="G2230" s="5">
        <v>54789</v>
      </c>
      <c r="H2230" s="4" t="str">
        <f>""</f>
        <v/>
      </c>
      <c r="I2230" s="4" t="str">
        <f>""</f>
        <v/>
      </c>
    </row>
    <row r="2231" spans="1:9" x14ac:dyDescent="0.3">
      <c r="A2231" s="1" t="str">
        <f>"59"</f>
        <v>59</v>
      </c>
      <c r="B2231" s="4" t="str">
        <f>"WALTER RECYCLAGE (ex BAPTISTE Walter)"</f>
        <v>WALTER RECYCLAGE (ex BAPTISTE Walter)</v>
      </c>
      <c r="C2231" s="4">
        <v>828619965</v>
      </c>
      <c r="D2231" s="3" t="s">
        <v>0</v>
      </c>
      <c r="E2231" s="2" t="str">
        <f>"PR3100033D"</f>
        <v>PR3100033D</v>
      </c>
      <c r="F2231" s="5">
        <v>43493</v>
      </c>
      <c r="G2231" s="5">
        <v>54789</v>
      </c>
      <c r="H2231" s="4" t="str">
        <f>""</f>
        <v/>
      </c>
      <c r="I2231" s="4" t="str">
        <f>""</f>
        <v/>
      </c>
    </row>
    <row r="2232" spans="1:9" x14ac:dyDescent="0.3">
      <c r="A2232" s="1" t="str">
        <f>"59"</f>
        <v>59</v>
      </c>
      <c r="B2232" s="4" t="str">
        <f>"DEWEZ"</f>
        <v>DEWEZ</v>
      </c>
      <c r="C2232" s="4">
        <v>835780537</v>
      </c>
      <c r="D2232" s="3" t="s">
        <v>0</v>
      </c>
      <c r="E2232" s="2" t="str">
        <f>"PR5900036D"</f>
        <v>PR5900036D</v>
      </c>
      <c r="F2232" s="5">
        <v>43803</v>
      </c>
      <c r="G2232" s="5">
        <v>54789</v>
      </c>
      <c r="H2232" s="4" t="str">
        <f>""</f>
        <v/>
      </c>
      <c r="I2232" s="4" t="str">
        <f>""</f>
        <v/>
      </c>
    </row>
    <row r="2233" spans="1:9" x14ac:dyDescent="0.3">
      <c r="A2233" s="1" t="str">
        <f>"59"</f>
        <v>59</v>
      </c>
      <c r="B2233" s="4" t="str">
        <f>"DEWEZ"</f>
        <v>DEWEZ</v>
      </c>
      <c r="C2233" s="4">
        <v>835780537</v>
      </c>
      <c r="D2233" s="3" t="s">
        <v>0</v>
      </c>
      <c r="E2233" s="2" t="str">
        <f>"0007004064"</f>
        <v>0007004064</v>
      </c>
      <c r="F2233" s="5">
        <v>43803</v>
      </c>
      <c r="G2233" s="5">
        <v>54789</v>
      </c>
      <c r="H2233" s="4" t="str">
        <f>""</f>
        <v/>
      </c>
      <c r="I2233" s="4" t="str">
        <f>""</f>
        <v/>
      </c>
    </row>
    <row r="2234" spans="1:9" x14ac:dyDescent="0.3">
      <c r="A2234" s="1" t="str">
        <f>"60"</f>
        <v>60</v>
      </c>
      <c r="B2234" s="4" t="str">
        <f>"AUTODICO"</f>
        <v>AUTODICO</v>
      </c>
      <c r="C2234" s="4">
        <v>312298441</v>
      </c>
      <c r="D2234" s="3" t="s">
        <v>0</v>
      </c>
      <c r="E2234" s="2" t="str">
        <f>"PR6000008D"</f>
        <v>PR6000008D</v>
      </c>
      <c r="F2234" s="5">
        <v>43277</v>
      </c>
      <c r="G2234" s="5">
        <v>54789</v>
      </c>
      <c r="H2234" s="4" t="str">
        <f>""</f>
        <v/>
      </c>
      <c r="I2234" s="4" t="str">
        <f>""</f>
        <v/>
      </c>
    </row>
    <row r="2235" spans="1:9" x14ac:dyDescent="0.3">
      <c r="A2235" s="1" t="str">
        <f>"60"</f>
        <v>60</v>
      </c>
      <c r="B2235" s="4" t="str">
        <f>"AUTODICO"</f>
        <v>AUTODICO</v>
      </c>
      <c r="C2235" s="4">
        <v>312298441</v>
      </c>
      <c r="D2235" s="3" t="s">
        <v>0</v>
      </c>
      <c r="E2235" s="2" t="str">
        <f>"0005104186"</f>
        <v>0005104186</v>
      </c>
      <c r="F2235" s="5">
        <v>43277</v>
      </c>
      <c r="G2235" s="5">
        <v>54789</v>
      </c>
      <c r="H2235" s="4" t="str">
        <f>""</f>
        <v/>
      </c>
      <c r="I2235" s="4" t="str">
        <f>""</f>
        <v/>
      </c>
    </row>
    <row r="2236" spans="1:9" x14ac:dyDescent="0.3">
      <c r="A2236" s="1" t="str">
        <f>"60"</f>
        <v>60</v>
      </c>
      <c r="B2236" s="4" t="str">
        <f>"AUTODICO"</f>
        <v>AUTODICO</v>
      </c>
      <c r="C2236" s="4">
        <v>312298441</v>
      </c>
      <c r="D2236" s="3" t="s">
        <v>0</v>
      </c>
      <c r="E2236" s="2" t="str">
        <f>"PR6000042D"</f>
        <v>PR6000042D</v>
      </c>
      <c r="F2236" s="5">
        <v>43277</v>
      </c>
      <c r="G2236" s="5">
        <v>54789</v>
      </c>
      <c r="H2236" s="4" t="str">
        <f>""</f>
        <v/>
      </c>
      <c r="I2236" s="4" t="str">
        <f>""</f>
        <v/>
      </c>
    </row>
    <row r="2237" spans="1:9" x14ac:dyDescent="0.3">
      <c r="A2237" s="1" t="str">
        <f>"60"</f>
        <v>60</v>
      </c>
      <c r="B2237" s="4" t="str">
        <f>"AUTODICO"</f>
        <v>AUTODICO</v>
      </c>
      <c r="C2237" s="4">
        <v>312298441</v>
      </c>
      <c r="D2237" s="3" t="s">
        <v>0</v>
      </c>
      <c r="E2237" s="2" t="str">
        <f>"0005104186"</f>
        <v>0005104186</v>
      </c>
      <c r="F2237" s="5">
        <v>43277</v>
      </c>
      <c r="G2237" s="5">
        <v>54789</v>
      </c>
      <c r="H2237" s="4" t="str">
        <f>""</f>
        <v/>
      </c>
      <c r="I2237" s="4" t="str">
        <f>""</f>
        <v/>
      </c>
    </row>
    <row r="2238" spans="1:9" x14ac:dyDescent="0.3">
      <c r="A2238" s="1" t="str">
        <f>"60"</f>
        <v>60</v>
      </c>
      <c r="B2238" s="4" t="str">
        <f>"JORY RENE"</f>
        <v>JORY RENE</v>
      </c>
      <c r="C2238" s="4">
        <v>321297772</v>
      </c>
      <c r="D2238" s="3" t="s">
        <v>0</v>
      </c>
      <c r="E2238" s="2" t="str">
        <f>"PR6000012D"</f>
        <v>PR6000012D</v>
      </c>
      <c r="F2238" s="5">
        <v>43398</v>
      </c>
      <c r="G2238" s="5">
        <v>54789</v>
      </c>
      <c r="H2238" s="4" t="str">
        <f>"JORY"</f>
        <v>JORY</v>
      </c>
      <c r="I2238" s="4" t="str">
        <f>"RENE"</f>
        <v>RENE</v>
      </c>
    </row>
    <row r="2239" spans="1:9" x14ac:dyDescent="0.3">
      <c r="A2239" s="1" t="str">
        <f>"60"</f>
        <v>60</v>
      </c>
      <c r="B2239" s="4" t="str">
        <f>"JORY RENE"</f>
        <v>JORY RENE</v>
      </c>
      <c r="C2239" s="4">
        <v>321297772</v>
      </c>
      <c r="D2239" s="3" t="s">
        <v>0</v>
      </c>
      <c r="E2239" s="2" t="str">
        <f>"0005101163"</f>
        <v>0005101163</v>
      </c>
      <c r="F2239" s="5">
        <v>43398</v>
      </c>
      <c r="G2239" s="5">
        <v>54789</v>
      </c>
      <c r="H2239" s="4" t="str">
        <f>"JORY"</f>
        <v>JORY</v>
      </c>
      <c r="I2239" s="4" t="str">
        <f>"RENE"</f>
        <v>RENE</v>
      </c>
    </row>
    <row r="2240" spans="1:9" x14ac:dyDescent="0.3">
      <c r="A2240" s="1" t="str">
        <f>"60"</f>
        <v>60</v>
      </c>
      <c r="B2240" s="4" t="str">
        <f>"JCB BM 92"</f>
        <v>JCB BM 92</v>
      </c>
      <c r="C2240" s="4">
        <v>326765054</v>
      </c>
      <c r="D2240" s="3" t="s">
        <v>0</v>
      </c>
      <c r="E2240" s="2" t="str">
        <f>"PR6000050D"</f>
        <v>PR6000050D</v>
      </c>
      <c r="F2240" s="5">
        <v>44700</v>
      </c>
      <c r="G2240" s="5">
        <v>54789</v>
      </c>
      <c r="H2240" s="4" t="str">
        <f>""</f>
        <v/>
      </c>
      <c r="I2240" s="4" t="str">
        <f>""</f>
        <v/>
      </c>
    </row>
    <row r="2241" spans="1:9" x14ac:dyDescent="0.3">
      <c r="A2241" s="1" t="str">
        <f>"60"</f>
        <v>60</v>
      </c>
      <c r="B2241" s="4" t="str">
        <f>"JCB BM 92"</f>
        <v>JCB BM 92</v>
      </c>
      <c r="C2241" s="4">
        <v>326765054</v>
      </c>
      <c r="D2241" s="3" t="s">
        <v>0</v>
      </c>
      <c r="E2241" s="2" t="str">
        <f>"0003801989"</f>
        <v>0003801989</v>
      </c>
      <c r="F2241" s="5">
        <v>44700</v>
      </c>
      <c r="G2241" s="5">
        <v>54789</v>
      </c>
      <c r="H2241" s="4" t="str">
        <f>""</f>
        <v/>
      </c>
      <c r="I2241" s="4" t="str">
        <f>""</f>
        <v/>
      </c>
    </row>
    <row r="2242" spans="1:9" x14ac:dyDescent="0.3">
      <c r="A2242" s="1" t="str">
        <f>"60"</f>
        <v>60</v>
      </c>
      <c r="B2242" s="4" t="str">
        <f>"SAS AUTO SERVICES"</f>
        <v>SAS AUTO SERVICES</v>
      </c>
      <c r="C2242" s="4">
        <v>329275325</v>
      </c>
      <c r="D2242" s="3" t="s">
        <v>0</v>
      </c>
      <c r="E2242" s="2" t="str">
        <f>"PR6000005D"</f>
        <v>PR6000005D</v>
      </c>
      <c r="F2242" s="5">
        <v>43493</v>
      </c>
      <c r="G2242" s="5">
        <v>54789</v>
      </c>
      <c r="H2242" s="4" t="str">
        <f>""</f>
        <v/>
      </c>
      <c r="I2242" s="4" t="str">
        <f>""</f>
        <v/>
      </c>
    </row>
    <row r="2243" spans="1:9" x14ac:dyDescent="0.3">
      <c r="A2243" s="1" t="str">
        <f>"60"</f>
        <v>60</v>
      </c>
      <c r="B2243" s="4" t="str">
        <f>"SAS AUTO SERVICES"</f>
        <v>SAS AUTO SERVICES</v>
      </c>
      <c r="C2243" s="4">
        <v>329275325</v>
      </c>
      <c r="D2243" s="3" t="s">
        <v>0</v>
      </c>
      <c r="E2243" s="2" t="str">
        <f>"0005100899"</f>
        <v>0005100899</v>
      </c>
      <c r="F2243" s="5">
        <v>43493</v>
      </c>
      <c r="G2243" s="5">
        <v>54789</v>
      </c>
      <c r="H2243" s="4" t="str">
        <f>""</f>
        <v/>
      </c>
      <c r="I2243" s="4" t="str">
        <f>""</f>
        <v/>
      </c>
    </row>
    <row r="2244" spans="1:9" x14ac:dyDescent="0.3">
      <c r="A2244" s="1" t="str">
        <f>"60"</f>
        <v>60</v>
      </c>
      <c r="B2244" s="4" t="str">
        <f>"SAS AUTO SERVICES"</f>
        <v>SAS AUTO SERVICES</v>
      </c>
      <c r="C2244" s="4">
        <v>329275325</v>
      </c>
      <c r="D2244" s="3" t="s">
        <v>0</v>
      </c>
      <c r="E2244" s="2" t="str">
        <f>"PR6000006D"</f>
        <v>PR6000006D</v>
      </c>
      <c r="F2244" s="5">
        <v>43493</v>
      </c>
      <c r="G2244" s="5">
        <v>54789</v>
      </c>
      <c r="H2244" s="4" t="str">
        <f>""</f>
        <v/>
      </c>
      <c r="I2244" s="4" t="str">
        <f>""</f>
        <v/>
      </c>
    </row>
    <row r="2245" spans="1:9" x14ac:dyDescent="0.3">
      <c r="A2245" s="1" t="str">
        <f>"60"</f>
        <v>60</v>
      </c>
      <c r="B2245" s="4" t="str">
        <f>"SAS AUTO SERVICES"</f>
        <v>SAS AUTO SERVICES</v>
      </c>
      <c r="C2245" s="4">
        <v>329275325</v>
      </c>
      <c r="D2245" s="3" t="s">
        <v>0</v>
      </c>
      <c r="E2245" s="2" t="str">
        <f>"0005104417"</f>
        <v>0005104417</v>
      </c>
      <c r="F2245" s="5">
        <v>43493</v>
      </c>
      <c r="G2245" s="5">
        <v>54789</v>
      </c>
      <c r="H2245" s="4" t="str">
        <f>""</f>
        <v/>
      </c>
      <c r="I2245" s="4" t="str">
        <f>""</f>
        <v/>
      </c>
    </row>
    <row r="2246" spans="1:9" x14ac:dyDescent="0.3">
      <c r="A2246" s="1" t="str">
        <f>"60"</f>
        <v>60</v>
      </c>
      <c r="B2246" s="4" t="str">
        <f>"SYSTEME AUTO"</f>
        <v>SYSTEME AUTO</v>
      </c>
      <c r="C2246" s="4">
        <v>351248661</v>
      </c>
      <c r="D2246" s="3" t="s">
        <v>0</v>
      </c>
      <c r="E2246" s="2" t="str">
        <f>"PR6000020D"</f>
        <v>PR6000020D</v>
      </c>
      <c r="F2246" s="5">
        <v>43560</v>
      </c>
      <c r="G2246" s="5">
        <v>54789</v>
      </c>
      <c r="H2246" s="4" t="str">
        <f>""</f>
        <v/>
      </c>
      <c r="I2246" s="4" t="str">
        <f>""</f>
        <v/>
      </c>
    </row>
    <row r="2247" spans="1:9" x14ac:dyDescent="0.3">
      <c r="A2247" s="1" t="str">
        <f>"60"</f>
        <v>60</v>
      </c>
      <c r="B2247" s="4" t="str">
        <f>"SYSTEME AUTO"</f>
        <v>SYSTEME AUTO</v>
      </c>
      <c r="C2247" s="4">
        <v>351248661</v>
      </c>
      <c r="D2247" s="3" t="s">
        <v>0</v>
      </c>
      <c r="E2247" s="2" t="str">
        <f>"0005100811"</f>
        <v>0005100811</v>
      </c>
      <c r="F2247" s="5">
        <v>43560</v>
      </c>
      <c r="G2247" s="5">
        <v>54789</v>
      </c>
      <c r="H2247" s="4" t="str">
        <f>""</f>
        <v/>
      </c>
      <c r="I2247" s="4" t="str">
        <f>""</f>
        <v/>
      </c>
    </row>
    <row r="2248" spans="1:9" x14ac:dyDescent="0.3">
      <c r="A2248" s="1" t="str">
        <f>"60"</f>
        <v>60</v>
      </c>
      <c r="B2248" s="4" t="str">
        <f>"ADS IDF NORD"</f>
        <v>ADS IDF NORD</v>
      </c>
      <c r="C2248" s="4">
        <v>351248661</v>
      </c>
      <c r="D2248" s="3" t="s">
        <v>0</v>
      </c>
      <c r="E2248" s="2" t="str">
        <f>"PR6000045D"</f>
        <v>PR6000045D</v>
      </c>
      <c r="F2248" s="5">
        <v>43682</v>
      </c>
      <c r="G2248" s="5">
        <v>54789</v>
      </c>
      <c r="H2248" s="4" t="str">
        <f>""</f>
        <v/>
      </c>
      <c r="I2248" s="4" t="str">
        <f>""</f>
        <v/>
      </c>
    </row>
    <row r="2249" spans="1:9" x14ac:dyDescent="0.3">
      <c r="A2249" s="1" t="str">
        <f>"60"</f>
        <v>60</v>
      </c>
      <c r="B2249" s="4" t="str">
        <f>"ADS IDF NORD"</f>
        <v>ADS IDF NORD</v>
      </c>
      <c r="C2249" s="4">
        <v>351248661</v>
      </c>
      <c r="D2249" s="3" t="s">
        <v>0</v>
      </c>
      <c r="E2249" s="2" t="str">
        <f>"0005103822"</f>
        <v>0005103822</v>
      </c>
      <c r="F2249" s="5">
        <v>43682</v>
      </c>
      <c r="G2249" s="5">
        <v>54789</v>
      </c>
      <c r="H2249" s="4" t="str">
        <f>""</f>
        <v/>
      </c>
      <c r="I2249" s="4" t="str">
        <f>""</f>
        <v/>
      </c>
    </row>
    <row r="2250" spans="1:9" x14ac:dyDescent="0.3">
      <c r="A2250" s="1" t="str">
        <f>"60"</f>
        <v>60</v>
      </c>
      <c r="B2250" s="4" t="str">
        <f>"SOCIETE D'EXPLOITATION FER ET METAUX"</f>
        <v>SOCIETE D'EXPLOITATION FER ET METAUX</v>
      </c>
      <c r="C2250" s="4">
        <v>377769252</v>
      </c>
      <c r="D2250" s="3" t="s">
        <v>0</v>
      </c>
      <c r="E2250" s="2" t="str">
        <f>"PR6000017D"</f>
        <v>PR6000017D</v>
      </c>
      <c r="F2250" s="5">
        <v>44621</v>
      </c>
      <c r="G2250" s="5">
        <v>54789</v>
      </c>
      <c r="H2250" s="4" t="str">
        <f>"DELAHOCHE"</f>
        <v>DELAHOCHE</v>
      </c>
      <c r="I2250" s="4" t="str">
        <f>"JEAN CLAUDE"</f>
        <v>JEAN CLAUDE</v>
      </c>
    </row>
    <row r="2251" spans="1:9" x14ac:dyDescent="0.3">
      <c r="A2251" s="1" t="str">
        <f>"60"</f>
        <v>60</v>
      </c>
      <c r="B2251" s="4" t="str">
        <f>"SOCIETE D'EXPLOITATION FER ET METAUX"</f>
        <v>SOCIETE D'EXPLOITATION FER ET METAUX</v>
      </c>
      <c r="C2251" s="4">
        <v>377769252</v>
      </c>
      <c r="D2251" s="3" t="s">
        <v>0</v>
      </c>
      <c r="E2251" s="2" t="str">
        <f>"0005104456"</f>
        <v>0005104456</v>
      </c>
      <c r="F2251" s="5">
        <v>44621</v>
      </c>
      <c r="G2251" s="5">
        <v>54789</v>
      </c>
      <c r="H2251" s="4" t="str">
        <f>"DELAHOCHE"</f>
        <v>DELAHOCHE</v>
      </c>
      <c r="I2251" s="4" t="str">
        <f>"JEAN CLAUDE"</f>
        <v>JEAN CLAUDE</v>
      </c>
    </row>
    <row r="2252" spans="1:9" x14ac:dyDescent="0.3">
      <c r="A2252" s="1" t="str">
        <f>"60"</f>
        <v>60</v>
      </c>
      <c r="B2252" s="4" t="str">
        <f>"GENERAL MECA"</f>
        <v>GENERAL MECA</v>
      </c>
      <c r="C2252" s="4">
        <v>378216063</v>
      </c>
      <c r="D2252" s="3" t="s">
        <v>0</v>
      </c>
      <c r="E2252" s="2" t="str">
        <f>"PR6000051D"</f>
        <v>PR6000051D</v>
      </c>
      <c r="F2252" s="5">
        <v>45279</v>
      </c>
      <c r="G2252" s="5">
        <v>54789</v>
      </c>
      <c r="H2252" s="4" t="str">
        <f>"ZONARD"</f>
        <v>ZONARD</v>
      </c>
      <c r="I2252" s="4" t="str">
        <f>"DANIEL"</f>
        <v>DANIEL</v>
      </c>
    </row>
    <row r="2253" spans="1:9" x14ac:dyDescent="0.3">
      <c r="A2253" s="1" t="str">
        <f>"60"</f>
        <v>60</v>
      </c>
      <c r="B2253" s="4" t="str">
        <f>"GENERAL MECA"</f>
        <v>GENERAL MECA</v>
      </c>
      <c r="C2253" s="4">
        <v>378216063</v>
      </c>
      <c r="D2253" s="3" t="s">
        <v>0</v>
      </c>
      <c r="E2253" s="2" t="str">
        <f>"0005104420"</f>
        <v>0005104420</v>
      </c>
      <c r="F2253" s="5">
        <v>45279</v>
      </c>
      <c r="G2253" s="5">
        <v>54789</v>
      </c>
      <c r="H2253" s="4" t="str">
        <f>"ZONARD"</f>
        <v>ZONARD</v>
      </c>
      <c r="I2253" s="4" t="str">
        <f>"DANIEL"</f>
        <v>DANIEL</v>
      </c>
    </row>
    <row r="2254" spans="1:9" x14ac:dyDescent="0.3">
      <c r="A2254" s="1" t="str">
        <f>"60"</f>
        <v>60</v>
      </c>
      <c r="B2254" s="4" t="str">
        <f>"B.J AUTO"</f>
        <v>B.J AUTO</v>
      </c>
      <c r="C2254" s="4">
        <v>379152523</v>
      </c>
      <c r="D2254" s="3" t="s">
        <v>0</v>
      </c>
      <c r="E2254" s="2" t="str">
        <f>"PR6000016D"</f>
        <v>PR6000016D</v>
      </c>
      <c r="F2254" s="5">
        <v>43473</v>
      </c>
      <c r="G2254" s="5">
        <v>54789</v>
      </c>
      <c r="H2254" s="4" t="str">
        <f>""</f>
        <v/>
      </c>
      <c r="I2254" s="4" t="str">
        <f>""</f>
        <v/>
      </c>
    </row>
    <row r="2255" spans="1:9" x14ac:dyDescent="0.3">
      <c r="A2255" s="1" t="str">
        <f>"60"</f>
        <v>60</v>
      </c>
      <c r="B2255" s="4" t="str">
        <f>"B.J AUTO"</f>
        <v>B.J AUTO</v>
      </c>
      <c r="C2255" s="4">
        <v>379152523</v>
      </c>
      <c r="D2255" s="3" t="s">
        <v>0</v>
      </c>
      <c r="E2255" s="2" t="str">
        <f>"0005100971"</f>
        <v>0005100971</v>
      </c>
      <c r="F2255" s="5">
        <v>43473</v>
      </c>
      <c r="G2255" s="5">
        <v>54789</v>
      </c>
      <c r="H2255" s="4" t="str">
        <f>""</f>
        <v/>
      </c>
      <c r="I2255" s="4" t="str">
        <f>""</f>
        <v/>
      </c>
    </row>
    <row r="2256" spans="1:9" x14ac:dyDescent="0.3">
      <c r="A2256" s="1" t="str">
        <f>"60"</f>
        <v>60</v>
      </c>
      <c r="B2256" s="4" t="str">
        <f>"ROYAL CASSE AUTO SERVICE"</f>
        <v>ROYAL CASSE AUTO SERVICE</v>
      </c>
      <c r="C2256" s="4">
        <v>380268151</v>
      </c>
      <c r="D2256" s="3" t="s">
        <v>0</v>
      </c>
      <c r="E2256" s="2" t="str">
        <f>"PR6000022D"</f>
        <v>PR6000022D</v>
      </c>
      <c r="F2256" s="5">
        <v>43676</v>
      </c>
      <c r="G2256" s="5">
        <v>54789</v>
      </c>
      <c r="H2256" s="4" t="str">
        <f>""</f>
        <v/>
      </c>
      <c r="I2256" s="4" t="str">
        <f>""</f>
        <v/>
      </c>
    </row>
    <row r="2257" spans="1:9" x14ac:dyDescent="0.3">
      <c r="A2257" s="1" t="str">
        <f>"60"</f>
        <v>60</v>
      </c>
      <c r="B2257" s="4" t="str">
        <f>"ROYAL CASSE AUTO SERVICE"</f>
        <v>ROYAL CASSE AUTO SERVICE</v>
      </c>
      <c r="C2257" s="4">
        <v>380268151</v>
      </c>
      <c r="D2257" s="3" t="s">
        <v>0</v>
      </c>
      <c r="E2257" s="2" t="str">
        <f>"0005104445"</f>
        <v>0005104445</v>
      </c>
      <c r="F2257" s="5">
        <v>43676</v>
      </c>
      <c r="G2257" s="5">
        <v>54789</v>
      </c>
      <c r="H2257" s="4" t="str">
        <f>""</f>
        <v/>
      </c>
      <c r="I2257" s="4" t="str">
        <f>""</f>
        <v/>
      </c>
    </row>
    <row r="2258" spans="1:9" x14ac:dyDescent="0.3">
      <c r="A2258" s="1" t="str">
        <f>"60"</f>
        <v>60</v>
      </c>
      <c r="B2258" s="4" t="str">
        <f>"CONSTANT"</f>
        <v>CONSTANT</v>
      </c>
      <c r="C2258" s="4">
        <v>380268151</v>
      </c>
      <c r="D2258" s="3" t="s">
        <v>0</v>
      </c>
      <c r="E2258" s="2" t="str">
        <f>"PR6000049D"</f>
        <v>PR6000049D</v>
      </c>
      <c r="F2258" s="5">
        <v>44495</v>
      </c>
      <c r="G2258" s="5">
        <v>54789</v>
      </c>
      <c r="H2258" s="4" t="str">
        <f>""</f>
        <v/>
      </c>
      <c r="I2258" s="4" t="str">
        <f>""</f>
        <v/>
      </c>
    </row>
    <row r="2259" spans="1:9" x14ac:dyDescent="0.3">
      <c r="A2259" s="1" t="str">
        <f>"60"</f>
        <v>60</v>
      </c>
      <c r="B2259" s="4" t="str">
        <f>"CONSTANT"</f>
        <v>CONSTANT</v>
      </c>
      <c r="C2259" s="4">
        <v>380268151</v>
      </c>
      <c r="D2259" s="3" t="s">
        <v>0</v>
      </c>
      <c r="E2259" s="2" t="str">
        <f>"0005107849"</f>
        <v>0005107849</v>
      </c>
      <c r="F2259" s="5">
        <v>44495</v>
      </c>
      <c r="G2259" s="5">
        <v>54789</v>
      </c>
      <c r="H2259" s="4" t="str">
        <f>""</f>
        <v/>
      </c>
      <c r="I2259" s="4" t="str">
        <f>""</f>
        <v/>
      </c>
    </row>
    <row r="2260" spans="1:9" x14ac:dyDescent="0.3">
      <c r="A2260" s="1" t="str">
        <f>"60"</f>
        <v>60</v>
      </c>
      <c r="B2260" s="4" t="str">
        <f>"GALLOO FRANCE SA"</f>
        <v>GALLOO FRANCE SA</v>
      </c>
      <c r="C2260" s="4">
        <v>383066602</v>
      </c>
      <c r="D2260" s="3" t="s">
        <v>0</v>
      </c>
      <c r="E2260" s="2" t="str">
        <f>"PR6000001B"</f>
        <v>PR6000001B</v>
      </c>
      <c r="F2260" s="5">
        <v>45218</v>
      </c>
      <c r="G2260" s="5">
        <v>54789</v>
      </c>
      <c r="H2260" s="4" t="str">
        <f>""</f>
        <v/>
      </c>
      <c r="I2260" s="4" t="str">
        <f>""</f>
        <v/>
      </c>
    </row>
    <row r="2261" spans="1:9" x14ac:dyDescent="0.3">
      <c r="A2261" s="1" t="str">
        <f>"60"</f>
        <v>60</v>
      </c>
      <c r="B2261" s="4" t="str">
        <f>"GALLOO FRANCE SA"</f>
        <v>GALLOO FRANCE SA</v>
      </c>
      <c r="C2261" s="4">
        <v>383066602</v>
      </c>
      <c r="D2261" s="3" t="s">
        <v>0</v>
      </c>
      <c r="E2261" s="2" t="str">
        <f>"0005101039"</f>
        <v>0005101039</v>
      </c>
      <c r="F2261" s="5">
        <v>45218</v>
      </c>
      <c r="G2261" s="5">
        <v>54789</v>
      </c>
      <c r="H2261" s="4" t="str">
        <f>""</f>
        <v/>
      </c>
      <c r="I2261" s="4" t="str">
        <f>""</f>
        <v/>
      </c>
    </row>
    <row r="2262" spans="1:9" x14ac:dyDescent="0.3">
      <c r="A2262" s="1" t="str">
        <f>"60"</f>
        <v>60</v>
      </c>
      <c r="B2262" s="4" t="str">
        <f>"GALLOO FRANCE SA Saint Germer"</f>
        <v>GALLOO FRANCE SA Saint Germer</v>
      </c>
      <c r="C2262" s="4">
        <v>383066602</v>
      </c>
      <c r="D2262" s="3" t="s">
        <v>0</v>
      </c>
      <c r="E2262" s="2" t="str">
        <f>"PR6000014D"</f>
        <v>PR6000014D</v>
      </c>
      <c r="F2262" s="5">
        <v>45218</v>
      </c>
      <c r="G2262" s="5">
        <v>54789</v>
      </c>
      <c r="H2262" s="4" t="str">
        <f>""</f>
        <v/>
      </c>
      <c r="I2262" s="4" t="str">
        <f>""</f>
        <v/>
      </c>
    </row>
    <row r="2263" spans="1:9" x14ac:dyDescent="0.3">
      <c r="A2263" s="1" t="str">
        <f>"60"</f>
        <v>60</v>
      </c>
      <c r="B2263" s="4" t="str">
        <f>"GALLOO FRANCE SA Saint Germer"</f>
        <v>GALLOO FRANCE SA Saint Germer</v>
      </c>
      <c r="C2263" s="4">
        <v>383066602</v>
      </c>
      <c r="D2263" s="3" t="s">
        <v>0</v>
      </c>
      <c r="E2263" s="2" t="str">
        <f>"0005101531"</f>
        <v>0005101531</v>
      </c>
      <c r="F2263" s="5">
        <v>45218</v>
      </c>
      <c r="G2263" s="5">
        <v>54789</v>
      </c>
      <c r="H2263" s="4" t="str">
        <f>""</f>
        <v/>
      </c>
      <c r="I2263" s="4" t="str">
        <f>""</f>
        <v/>
      </c>
    </row>
    <row r="2264" spans="1:9" x14ac:dyDescent="0.3">
      <c r="A2264" s="1" t="str">
        <f>"60"</f>
        <v>60</v>
      </c>
      <c r="B2264" s="4" t="str">
        <f>"GALLOO FRANCE SA CLAIROIX"</f>
        <v>GALLOO FRANCE SA CLAIROIX</v>
      </c>
      <c r="C2264" s="4">
        <v>383066602</v>
      </c>
      <c r="D2264" s="3" t="s">
        <v>0</v>
      </c>
      <c r="E2264" s="2" t="str">
        <f>"PR6000027D"</f>
        <v>PR6000027D</v>
      </c>
      <c r="F2264" s="5">
        <v>45218</v>
      </c>
      <c r="G2264" s="5">
        <v>54789</v>
      </c>
      <c r="H2264" s="4" t="str">
        <f>""</f>
        <v/>
      </c>
      <c r="I2264" s="4" t="str">
        <f>""</f>
        <v/>
      </c>
    </row>
    <row r="2265" spans="1:9" x14ac:dyDescent="0.3">
      <c r="A2265" s="1" t="str">
        <f>"60"</f>
        <v>60</v>
      </c>
      <c r="B2265" s="4" t="str">
        <f>"GALLOO FRANCE SA CLAIROIX"</f>
        <v>GALLOO FRANCE SA CLAIROIX</v>
      </c>
      <c r="C2265" s="4">
        <v>383066602</v>
      </c>
      <c r="D2265" s="3" t="s">
        <v>0</v>
      </c>
      <c r="E2265" s="2" t="str">
        <f>"0005101039"</f>
        <v>0005101039</v>
      </c>
      <c r="F2265" s="5">
        <v>45218</v>
      </c>
      <c r="G2265" s="5">
        <v>54789</v>
      </c>
      <c r="H2265" s="4" t="str">
        <f>""</f>
        <v/>
      </c>
      <c r="I2265" s="4" t="str">
        <f>""</f>
        <v/>
      </c>
    </row>
    <row r="2266" spans="1:9" x14ac:dyDescent="0.3">
      <c r="A2266" s="1" t="str">
        <f>"60"</f>
        <v>60</v>
      </c>
      <c r="B2266" s="4" t="str">
        <f>"FRANCE DEMONTAGES AUTOMOBILES"</f>
        <v>FRANCE DEMONTAGES AUTOMOBILES</v>
      </c>
      <c r="C2266" s="4">
        <v>398719831</v>
      </c>
      <c r="D2266" s="3" t="s">
        <v>0</v>
      </c>
      <c r="E2266" s="2" t="str">
        <f>"PR6000004D"</f>
        <v>PR6000004D</v>
      </c>
      <c r="F2266" s="5">
        <v>44196</v>
      </c>
      <c r="G2266" s="5">
        <v>54789</v>
      </c>
      <c r="H2266" s="4" t="str">
        <f>""</f>
        <v/>
      </c>
      <c r="I2266" s="4" t="str">
        <f>""</f>
        <v/>
      </c>
    </row>
    <row r="2267" spans="1:9" x14ac:dyDescent="0.3">
      <c r="A2267" s="1" t="str">
        <f>"60"</f>
        <v>60</v>
      </c>
      <c r="B2267" s="4" t="str">
        <f>"FRANCE DEMONTAGES AUTOMOBILES"</f>
        <v>FRANCE DEMONTAGES AUTOMOBILES</v>
      </c>
      <c r="C2267" s="4">
        <v>398719831</v>
      </c>
      <c r="D2267" s="3" t="s">
        <v>0</v>
      </c>
      <c r="E2267" s="2" t="str">
        <f>"0005104563"</f>
        <v>0005104563</v>
      </c>
      <c r="F2267" s="5">
        <v>44196</v>
      </c>
      <c r="G2267" s="5">
        <v>54789</v>
      </c>
      <c r="H2267" s="4" t="str">
        <f>""</f>
        <v/>
      </c>
      <c r="I2267" s="4" t="str">
        <f>""</f>
        <v/>
      </c>
    </row>
    <row r="2268" spans="1:9" x14ac:dyDescent="0.3">
      <c r="A2268" s="1" t="str">
        <f>"60"</f>
        <v>60</v>
      </c>
      <c r="B2268" s="4" t="str">
        <f>"P.T.M AUTO CARAMBOLAGE"</f>
        <v>P.T.M AUTO CARAMBOLAGE</v>
      </c>
      <c r="C2268" s="4">
        <v>398815514</v>
      </c>
      <c r="D2268" s="3" t="s">
        <v>0</v>
      </c>
      <c r="E2268" s="2" t="str">
        <f>"PR6000009D"</f>
        <v>PR6000009D</v>
      </c>
      <c r="F2268" s="5">
        <v>43715</v>
      </c>
      <c r="G2268" s="5">
        <v>54789</v>
      </c>
      <c r="H2268" s="4" t="str">
        <f>""</f>
        <v/>
      </c>
      <c r="I2268" s="4" t="str">
        <f>""</f>
        <v/>
      </c>
    </row>
    <row r="2269" spans="1:9" x14ac:dyDescent="0.3">
      <c r="A2269" s="1" t="str">
        <f>"60"</f>
        <v>60</v>
      </c>
      <c r="B2269" s="4" t="str">
        <f>"P.T.M AUTO CARAMBOLAGE"</f>
        <v>P.T.M AUTO CARAMBOLAGE</v>
      </c>
      <c r="C2269" s="4">
        <v>398815514</v>
      </c>
      <c r="D2269" s="3" t="s">
        <v>0</v>
      </c>
      <c r="E2269" s="2" t="str">
        <f>"0005104414"</f>
        <v>0005104414</v>
      </c>
      <c r="F2269" s="5">
        <v>43715</v>
      </c>
      <c r="G2269" s="5">
        <v>54789</v>
      </c>
      <c r="H2269" s="4" t="str">
        <f>""</f>
        <v/>
      </c>
      <c r="I2269" s="4" t="str">
        <f>""</f>
        <v/>
      </c>
    </row>
    <row r="2270" spans="1:9" x14ac:dyDescent="0.3">
      <c r="A2270" s="1" t="str">
        <f>"60"</f>
        <v>60</v>
      </c>
      <c r="B2270" s="4" t="str">
        <f>"SARL SOCIETE HENON FRERES"</f>
        <v>SARL SOCIETE HENON FRERES</v>
      </c>
      <c r="C2270" s="4">
        <v>400919247</v>
      </c>
      <c r="D2270" s="3" t="s">
        <v>0</v>
      </c>
      <c r="E2270" s="2" t="str">
        <f>"PR6000021D"</f>
        <v>PR6000021D</v>
      </c>
      <c r="F2270" s="5">
        <v>43528</v>
      </c>
      <c r="G2270" s="5">
        <v>54789</v>
      </c>
      <c r="H2270" s="4" t="str">
        <f>""</f>
        <v/>
      </c>
      <c r="I2270" s="4" t="str">
        <f>""</f>
        <v/>
      </c>
    </row>
    <row r="2271" spans="1:9" x14ac:dyDescent="0.3">
      <c r="A2271" s="1" t="str">
        <f>"60"</f>
        <v>60</v>
      </c>
      <c r="B2271" s="4" t="str">
        <f>"SARL SOCIETE HENON FRERES"</f>
        <v>SARL SOCIETE HENON FRERES</v>
      </c>
      <c r="C2271" s="4">
        <v>400919247</v>
      </c>
      <c r="D2271" s="3" t="s">
        <v>0</v>
      </c>
      <c r="E2271" s="2" t="str">
        <f>"0005101354"</f>
        <v>0005101354</v>
      </c>
      <c r="F2271" s="5">
        <v>43528</v>
      </c>
      <c r="G2271" s="5">
        <v>54789</v>
      </c>
      <c r="H2271" s="4" t="str">
        <f>""</f>
        <v/>
      </c>
      <c r="I2271" s="4" t="str">
        <f>""</f>
        <v/>
      </c>
    </row>
    <row r="2272" spans="1:9" x14ac:dyDescent="0.3">
      <c r="A2272" s="1" t="str">
        <f>"60"</f>
        <v>60</v>
      </c>
      <c r="B2272" s="4" t="str">
        <f>"GPA 26"</f>
        <v>GPA 26</v>
      </c>
      <c r="C2272" s="4">
        <v>437281207</v>
      </c>
      <c r="D2272" s="3" t="s">
        <v>0</v>
      </c>
      <c r="E2272" s="2" t="str">
        <f>"PR6000052D"</f>
        <v>PR6000052D</v>
      </c>
      <c r="F2272" s="5">
        <v>45488</v>
      </c>
      <c r="G2272" s="5">
        <v>54789</v>
      </c>
      <c r="H2272" s="4" t="str">
        <f>""</f>
        <v/>
      </c>
      <c r="I2272" s="4" t="str">
        <f>""</f>
        <v/>
      </c>
    </row>
    <row r="2273" spans="1:9" x14ac:dyDescent="0.3">
      <c r="A2273" s="1" t="str">
        <f>"60"</f>
        <v>60</v>
      </c>
      <c r="B2273" s="4" t="str">
        <f>"GPA 26"</f>
        <v>GPA 26</v>
      </c>
      <c r="C2273" s="4">
        <v>437281207</v>
      </c>
      <c r="D2273" s="3" t="s">
        <v>0</v>
      </c>
      <c r="E2273" s="2" t="str">
        <f>"0100037076"</f>
        <v>0100037076</v>
      </c>
      <c r="F2273" s="5">
        <v>45488</v>
      </c>
      <c r="G2273" s="5">
        <v>54789</v>
      </c>
      <c r="H2273" s="4" t="str">
        <f>""</f>
        <v/>
      </c>
      <c r="I2273" s="4" t="str">
        <f>""</f>
        <v/>
      </c>
    </row>
    <row r="2274" spans="1:9" x14ac:dyDescent="0.3">
      <c r="A2274" s="1" t="str">
        <f>"60"</f>
        <v>60</v>
      </c>
      <c r="B2274" s="4" t="str">
        <f>"ADS IDF NORD"</f>
        <v>ADS IDF NORD</v>
      </c>
      <c r="C2274" s="4">
        <v>440327328</v>
      </c>
      <c r="D2274" s="3" t="s">
        <v>0</v>
      </c>
      <c r="E2274" s="2" t="str">
        <f>"PR6000045D"</f>
        <v>PR6000045D</v>
      </c>
      <c r="F2274" s="5">
        <v>43682</v>
      </c>
      <c r="G2274" s="5">
        <v>54789</v>
      </c>
      <c r="H2274" s="4" t="str">
        <f>""</f>
        <v/>
      </c>
      <c r="I2274" s="4" t="str">
        <f>""</f>
        <v/>
      </c>
    </row>
    <row r="2275" spans="1:9" x14ac:dyDescent="0.3">
      <c r="A2275" s="1" t="str">
        <f>"60"</f>
        <v>60</v>
      </c>
      <c r="B2275" s="4" t="str">
        <f>"ADS IDF NORD"</f>
        <v>ADS IDF NORD</v>
      </c>
      <c r="C2275" s="4">
        <v>440327328</v>
      </c>
      <c r="D2275" s="3" t="s">
        <v>0</v>
      </c>
      <c r="E2275" s="2" t="str">
        <f>"0005103822"</f>
        <v>0005103822</v>
      </c>
      <c r="F2275" s="5">
        <v>43682</v>
      </c>
      <c r="G2275" s="5">
        <v>54789</v>
      </c>
      <c r="H2275" s="4" t="str">
        <f>""</f>
        <v/>
      </c>
      <c r="I2275" s="4" t="str">
        <f>""</f>
        <v/>
      </c>
    </row>
    <row r="2276" spans="1:9" x14ac:dyDescent="0.3">
      <c r="A2276" s="1" t="str">
        <f>"60"</f>
        <v>60</v>
      </c>
      <c r="B2276" s="4" t="str">
        <f>"ADR"</f>
        <v>ADR</v>
      </c>
      <c r="C2276" s="4">
        <v>453046567</v>
      </c>
      <c r="D2276" s="3" t="s">
        <v>0</v>
      </c>
      <c r="E2276" s="2" t="str">
        <f>"PR6000025D"</f>
        <v>PR6000025D</v>
      </c>
      <c r="F2276" s="5">
        <v>42335</v>
      </c>
      <c r="G2276" s="5">
        <v>54789</v>
      </c>
      <c r="H2276" s="4" t="str">
        <f>""</f>
        <v/>
      </c>
      <c r="I2276" s="4" t="str">
        <f>""</f>
        <v/>
      </c>
    </row>
    <row r="2277" spans="1:9" x14ac:dyDescent="0.3">
      <c r="A2277" s="1" t="str">
        <f>"60"</f>
        <v>60</v>
      </c>
      <c r="B2277" s="4" t="str">
        <f>"ADR"</f>
        <v>ADR</v>
      </c>
      <c r="C2277" s="4">
        <v>453046567</v>
      </c>
      <c r="D2277" s="3" t="s">
        <v>0</v>
      </c>
      <c r="E2277" s="2" t="str">
        <f>"0005105780"</f>
        <v>0005105780</v>
      </c>
      <c r="F2277" s="5">
        <v>42335</v>
      </c>
      <c r="G2277" s="5">
        <v>54789</v>
      </c>
      <c r="H2277" s="4" t="str">
        <f>""</f>
        <v/>
      </c>
      <c r="I2277" s="4" t="str">
        <f>""</f>
        <v/>
      </c>
    </row>
    <row r="2278" spans="1:9" x14ac:dyDescent="0.3">
      <c r="A2278" s="1" t="str">
        <f>"60"</f>
        <v>60</v>
      </c>
      <c r="B2278" s="4" t="str">
        <f>"SARL S.D.P AUTO"</f>
        <v>SARL S.D.P AUTO</v>
      </c>
      <c r="C2278" s="4">
        <v>492049663</v>
      </c>
      <c r="D2278" s="3" t="s">
        <v>0</v>
      </c>
      <c r="E2278" s="2" t="str">
        <f>"PR6000019D"</f>
        <v>PR6000019D</v>
      </c>
      <c r="F2278" s="5">
        <v>43910</v>
      </c>
      <c r="G2278" s="5">
        <v>54789</v>
      </c>
      <c r="H2278" s="4" t="str">
        <f>""</f>
        <v/>
      </c>
      <c r="I2278" s="4" t="str">
        <f>""</f>
        <v/>
      </c>
    </row>
    <row r="2279" spans="1:9" x14ac:dyDescent="0.3">
      <c r="A2279" s="1" t="str">
        <f>"60"</f>
        <v>60</v>
      </c>
      <c r="B2279" s="4" t="str">
        <f>"SARL S.D.P AUTO"</f>
        <v>SARL S.D.P AUTO</v>
      </c>
      <c r="C2279" s="4">
        <v>492049663</v>
      </c>
      <c r="D2279" s="3" t="s">
        <v>0</v>
      </c>
      <c r="E2279" s="2" t="str">
        <f>"0005104714"</f>
        <v>0005104714</v>
      </c>
      <c r="F2279" s="5">
        <v>43910</v>
      </c>
      <c r="G2279" s="5">
        <v>54789</v>
      </c>
      <c r="H2279" s="4" t="str">
        <f>""</f>
        <v/>
      </c>
      <c r="I2279" s="4" t="str">
        <f>""</f>
        <v/>
      </c>
    </row>
    <row r="2280" spans="1:9" x14ac:dyDescent="0.3">
      <c r="A2280" s="1" t="str">
        <f>"60"</f>
        <v>60</v>
      </c>
      <c r="B2280" s="4" t="str">
        <f>"DEPOL'OISE"</f>
        <v>DEPOL'OISE</v>
      </c>
      <c r="C2280" s="4">
        <v>517568853</v>
      </c>
      <c r="D2280" s="3" t="s">
        <v>0</v>
      </c>
      <c r="E2280" s="2" t="str">
        <f>"PR6000031D"</f>
        <v>PR6000031D</v>
      </c>
      <c r="F2280" s="5">
        <v>44050</v>
      </c>
      <c r="G2280" s="5">
        <v>54789</v>
      </c>
      <c r="H2280" s="4" t="str">
        <f>""</f>
        <v/>
      </c>
      <c r="I2280" s="4" t="str">
        <f>""</f>
        <v/>
      </c>
    </row>
    <row r="2281" spans="1:9" x14ac:dyDescent="0.3">
      <c r="A2281" s="1" t="str">
        <f>"60"</f>
        <v>60</v>
      </c>
      <c r="B2281" s="4" t="str">
        <f>"DEPOL'OISE"</f>
        <v>DEPOL'OISE</v>
      </c>
      <c r="C2281" s="4">
        <v>517568853</v>
      </c>
      <c r="D2281" s="3" t="s">
        <v>0</v>
      </c>
      <c r="E2281" s="2" t="str">
        <f>"0005107863"</f>
        <v>0005107863</v>
      </c>
      <c r="F2281" s="5">
        <v>44050</v>
      </c>
      <c r="G2281" s="5">
        <v>54789</v>
      </c>
      <c r="H2281" s="4" t="str">
        <f>""</f>
        <v/>
      </c>
      <c r="I2281" s="4" t="str">
        <f>""</f>
        <v/>
      </c>
    </row>
    <row r="2282" spans="1:9" x14ac:dyDescent="0.3">
      <c r="A2282" s="1" t="str">
        <f>"60"</f>
        <v>60</v>
      </c>
      <c r="B2282" s="4" t="str">
        <f>"TOPICO AUTO"</f>
        <v>TOPICO AUTO</v>
      </c>
      <c r="C2282" s="4">
        <v>520435223</v>
      </c>
      <c r="D2282" s="3" t="s">
        <v>0</v>
      </c>
      <c r="E2282" s="2" t="str">
        <f>"PR6000023D"</f>
        <v>PR6000023D</v>
      </c>
      <c r="F2282" s="5">
        <v>43369</v>
      </c>
      <c r="G2282" s="5">
        <v>54789</v>
      </c>
      <c r="H2282" s="4" t="str">
        <f>""</f>
        <v/>
      </c>
      <c r="I2282" s="4" t="str">
        <f>""</f>
        <v/>
      </c>
    </row>
    <row r="2283" spans="1:9" x14ac:dyDescent="0.3">
      <c r="A2283" s="1" t="str">
        <f>"60"</f>
        <v>60</v>
      </c>
      <c r="B2283" s="4" t="str">
        <f>"TOPICO AUTO"</f>
        <v>TOPICO AUTO</v>
      </c>
      <c r="C2283" s="4">
        <v>520435223</v>
      </c>
      <c r="D2283" s="3" t="s">
        <v>0</v>
      </c>
      <c r="E2283" s="2" t="str">
        <f>"0005101092"</f>
        <v>0005101092</v>
      </c>
      <c r="F2283" s="5">
        <v>43369</v>
      </c>
      <c r="G2283" s="5">
        <v>54789</v>
      </c>
      <c r="H2283" s="4" t="str">
        <f>""</f>
        <v/>
      </c>
      <c r="I2283" s="4" t="str">
        <f>""</f>
        <v/>
      </c>
    </row>
    <row r="2284" spans="1:9" x14ac:dyDescent="0.3">
      <c r="A2284" s="1" t="str">
        <f>"60"</f>
        <v>60</v>
      </c>
      <c r="B2284" s="4" t="str">
        <f>"AUTO DEMOLITION"</f>
        <v>AUTO DEMOLITION</v>
      </c>
      <c r="C2284" s="4">
        <v>520435223</v>
      </c>
      <c r="D2284" s="3" t="s">
        <v>0</v>
      </c>
      <c r="E2284" s="2" t="str">
        <f>"PR6000028D"</f>
        <v>PR6000028D</v>
      </c>
      <c r="F2284" s="5">
        <v>43861</v>
      </c>
      <c r="G2284" s="5">
        <v>54789</v>
      </c>
      <c r="H2284" s="4" t="str">
        <f>""</f>
        <v/>
      </c>
      <c r="I2284" s="4" t="str">
        <f>""</f>
        <v/>
      </c>
    </row>
    <row r="2285" spans="1:9" x14ac:dyDescent="0.3">
      <c r="A2285" s="1" t="str">
        <f>"60"</f>
        <v>60</v>
      </c>
      <c r="B2285" s="4" t="str">
        <f>"AUTO DEMOLITION"</f>
        <v>AUTO DEMOLITION</v>
      </c>
      <c r="C2285" s="4">
        <v>520435223</v>
      </c>
      <c r="D2285" s="3" t="s">
        <v>0</v>
      </c>
      <c r="E2285" s="2" t="str">
        <f>"0005104437"</f>
        <v>0005104437</v>
      </c>
      <c r="F2285" s="5">
        <v>43861</v>
      </c>
      <c r="G2285" s="5">
        <v>54789</v>
      </c>
      <c r="H2285" s="4" t="str">
        <f>""</f>
        <v/>
      </c>
      <c r="I2285" s="4" t="str">
        <f>""</f>
        <v/>
      </c>
    </row>
    <row r="2286" spans="1:9" x14ac:dyDescent="0.3">
      <c r="A2286" s="1" t="str">
        <f>"60"</f>
        <v>60</v>
      </c>
      <c r="B2286" s="4" t="str">
        <f>"CONSTANT"</f>
        <v>CONSTANT</v>
      </c>
      <c r="C2286" s="4">
        <v>582091575</v>
      </c>
      <c r="D2286" s="3" t="s">
        <v>0</v>
      </c>
      <c r="E2286" s="2" t="str">
        <f>"PR6000049D"</f>
        <v>PR6000049D</v>
      </c>
      <c r="F2286" s="5">
        <v>44495</v>
      </c>
      <c r="G2286" s="5">
        <v>54789</v>
      </c>
      <c r="H2286" s="4" t="str">
        <f>""</f>
        <v/>
      </c>
      <c r="I2286" s="4" t="str">
        <f>""</f>
        <v/>
      </c>
    </row>
    <row r="2287" spans="1:9" x14ac:dyDescent="0.3">
      <c r="A2287" s="1" t="str">
        <f>"60"</f>
        <v>60</v>
      </c>
      <c r="B2287" s="4" t="str">
        <f>"CONSTANT"</f>
        <v>CONSTANT</v>
      </c>
      <c r="C2287" s="4">
        <v>582091575</v>
      </c>
      <c r="D2287" s="3" t="s">
        <v>0</v>
      </c>
      <c r="E2287" s="2" t="str">
        <f>"0005107849"</f>
        <v>0005107849</v>
      </c>
      <c r="F2287" s="5">
        <v>44495</v>
      </c>
      <c r="G2287" s="5">
        <v>54789</v>
      </c>
      <c r="H2287" s="4" t="str">
        <f>""</f>
        <v/>
      </c>
      <c r="I2287" s="4" t="str">
        <f>""</f>
        <v/>
      </c>
    </row>
    <row r="2288" spans="1:9" x14ac:dyDescent="0.3">
      <c r="A2288" s="1" t="str">
        <f>"60"</f>
        <v>60</v>
      </c>
      <c r="B2288" s="4" t="str">
        <f>"REVIVAL DERICHEROURG"</f>
        <v>REVIVAL DERICHEROURG</v>
      </c>
      <c r="C2288" s="4">
        <v>616620092</v>
      </c>
      <c r="D2288" s="3" t="s">
        <v>0</v>
      </c>
      <c r="E2288" s="2" t="str">
        <f>"PR6000043D"</f>
        <v>PR6000043D</v>
      </c>
      <c r="F2288" s="5">
        <v>43546</v>
      </c>
      <c r="G2288" s="5">
        <v>54789</v>
      </c>
      <c r="H2288" s="4" t="str">
        <f>""</f>
        <v/>
      </c>
      <c r="I2288" s="4" t="str">
        <f>""</f>
        <v/>
      </c>
    </row>
    <row r="2289" spans="1:9" x14ac:dyDescent="0.3">
      <c r="A2289" s="1" t="str">
        <f>"60"</f>
        <v>60</v>
      </c>
      <c r="B2289" s="4" t="str">
        <f>"REVIVAL DERICHEROURG"</f>
        <v>REVIVAL DERICHEROURG</v>
      </c>
      <c r="C2289" s="4">
        <v>616620092</v>
      </c>
      <c r="D2289" s="3" t="s">
        <v>0</v>
      </c>
      <c r="E2289" s="2" t="str">
        <f>"0005105638"</f>
        <v>0005105638</v>
      </c>
      <c r="F2289" s="5">
        <v>43546</v>
      </c>
      <c r="G2289" s="5">
        <v>54789</v>
      </c>
      <c r="H2289" s="4" t="str">
        <f>""</f>
        <v/>
      </c>
      <c r="I2289" s="4" t="str">
        <f>""</f>
        <v/>
      </c>
    </row>
    <row r="2290" spans="1:9" x14ac:dyDescent="0.3">
      <c r="A2290" s="1" t="str">
        <f>"60"</f>
        <v>60</v>
      </c>
      <c r="B2290" s="4" t="str">
        <f>"ALPHA METAL SERVICES"</f>
        <v>ALPHA METAL SERVICES</v>
      </c>
      <c r="C2290" s="4">
        <v>752432401</v>
      </c>
      <c r="D2290" s="3" t="s">
        <v>0</v>
      </c>
      <c r="E2290" s="2" t="str">
        <f>"PR6000041D"</f>
        <v>PR6000041D</v>
      </c>
      <c r="F2290" s="5">
        <v>43194</v>
      </c>
      <c r="G2290" s="5">
        <v>54789</v>
      </c>
      <c r="H2290" s="4" t="str">
        <f>""</f>
        <v/>
      </c>
      <c r="I2290" s="4" t="str">
        <f>""</f>
        <v/>
      </c>
    </row>
    <row r="2291" spans="1:9" x14ac:dyDescent="0.3">
      <c r="A2291" s="1" t="str">
        <f>"60"</f>
        <v>60</v>
      </c>
      <c r="B2291" s="4" t="str">
        <f>"ALPHA METAL SERVICES"</f>
        <v>ALPHA METAL SERVICES</v>
      </c>
      <c r="C2291" s="4">
        <v>752432401</v>
      </c>
      <c r="D2291" s="3" t="s">
        <v>0</v>
      </c>
      <c r="E2291" s="2" t="str">
        <f>"0003801567"</f>
        <v>0003801567</v>
      </c>
      <c r="F2291" s="5">
        <v>43194</v>
      </c>
      <c r="G2291" s="5">
        <v>54789</v>
      </c>
      <c r="H2291" s="4" t="str">
        <f>""</f>
        <v/>
      </c>
      <c r="I2291" s="4" t="str">
        <f>""</f>
        <v/>
      </c>
    </row>
    <row r="2292" spans="1:9" x14ac:dyDescent="0.3">
      <c r="A2292" s="1" t="str">
        <f>"60"</f>
        <v>60</v>
      </c>
      <c r="B2292" s="4" t="str">
        <f>"FEREC RECYCLAGE"</f>
        <v>FEREC RECYCLAGE</v>
      </c>
      <c r="C2292" s="4">
        <v>754049617</v>
      </c>
      <c r="D2292" s="3" t="s">
        <v>0</v>
      </c>
      <c r="E2292" s="2" t="str">
        <f>"PR6000048D"</f>
        <v>PR6000048D</v>
      </c>
      <c r="F2292" s="5">
        <v>44341</v>
      </c>
      <c r="G2292" s="5">
        <v>54789</v>
      </c>
      <c r="H2292" s="4" t="str">
        <f>""</f>
        <v/>
      </c>
      <c r="I2292" s="4" t="str">
        <f>""</f>
        <v/>
      </c>
    </row>
    <row r="2293" spans="1:9" x14ac:dyDescent="0.3">
      <c r="A2293" s="1" t="str">
        <f>"60"</f>
        <v>60</v>
      </c>
      <c r="B2293" s="4" t="str">
        <f>"FEREC RECYCLAGE"</f>
        <v>FEREC RECYCLAGE</v>
      </c>
      <c r="C2293" s="4">
        <v>754049617</v>
      </c>
      <c r="D2293" s="3" t="s">
        <v>0</v>
      </c>
      <c r="E2293" s="2" t="str">
        <f>"0005107858"</f>
        <v>0005107858</v>
      </c>
      <c r="F2293" s="5">
        <v>44341</v>
      </c>
      <c r="G2293" s="5">
        <v>54789</v>
      </c>
      <c r="H2293" s="4" t="str">
        <f>""</f>
        <v/>
      </c>
      <c r="I2293" s="4" t="str">
        <f>""</f>
        <v/>
      </c>
    </row>
    <row r="2294" spans="1:9" x14ac:dyDescent="0.3">
      <c r="A2294" s="1" t="str">
        <f>"60"</f>
        <v>60</v>
      </c>
      <c r="B2294" s="4" t="str">
        <f>"AUTO CRASH DU VEXIN"</f>
        <v>AUTO CRASH DU VEXIN</v>
      </c>
      <c r="C2294" s="4">
        <v>790672703</v>
      </c>
      <c r="D2294" s="3" t="s">
        <v>0</v>
      </c>
      <c r="E2294" s="2" t="str">
        <f>"PR6000030D"</f>
        <v>PR6000030D</v>
      </c>
      <c r="F2294" s="5">
        <v>43628</v>
      </c>
      <c r="G2294" s="5">
        <v>54789</v>
      </c>
      <c r="H2294" s="4" t="str">
        <f>""</f>
        <v/>
      </c>
      <c r="I2294" s="4" t="str">
        <f>""</f>
        <v/>
      </c>
    </row>
    <row r="2295" spans="1:9" x14ac:dyDescent="0.3">
      <c r="A2295" s="1" t="str">
        <f>"60"</f>
        <v>60</v>
      </c>
      <c r="B2295" s="4" t="str">
        <f>"AUTO CRASH DU VEXIN"</f>
        <v>AUTO CRASH DU VEXIN</v>
      </c>
      <c r="C2295" s="4">
        <v>790672703</v>
      </c>
      <c r="D2295" s="3" t="s">
        <v>0</v>
      </c>
      <c r="E2295" s="2" t="str">
        <f>"0005107906"</f>
        <v>0005107906</v>
      </c>
      <c r="F2295" s="5">
        <v>43628</v>
      </c>
      <c r="G2295" s="5">
        <v>54789</v>
      </c>
      <c r="H2295" s="4" t="str">
        <f>""</f>
        <v/>
      </c>
      <c r="I2295" s="4" t="str">
        <f>""</f>
        <v/>
      </c>
    </row>
    <row r="2296" spans="1:9" x14ac:dyDescent="0.3">
      <c r="A2296" s="1" t="str">
        <f>"60"</f>
        <v>60</v>
      </c>
      <c r="B2296" s="4" t="str">
        <f>"DRM-ESCALE AUTO"</f>
        <v>DRM-ESCALE AUTO</v>
      </c>
      <c r="C2296" s="4">
        <v>803023894</v>
      </c>
      <c r="D2296" s="3" t="s">
        <v>0</v>
      </c>
      <c r="E2296" s="2" t="str">
        <f>"PR6000001D"</f>
        <v>PR6000001D</v>
      </c>
      <c r="F2296" s="5">
        <v>43913</v>
      </c>
      <c r="G2296" s="5">
        <v>54789</v>
      </c>
      <c r="H2296" s="4" t="str">
        <f>""</f>
        <v/>
      </c>
      <c r="I2296" s="4" t="str">
        <f>""</f>
        <v/>
      </c>
    </row>
    <row r="2297" spans="1:9" x14ac:dyDescent="0.3">
      <c r="A2297" s="1" t="str">
        <f>"60"</f>
        <v>60</v>
      </c>
      <c r="B2297" s="4" t="str">
        <f>"DRM-ESCALE AUTO"</f>
        <v>DRM-ESCALE AUTO</v>
      </c>
      <c r="C2297" s="4">
        <v>803023894</v>
      </c>
      <c r="D2297" s="3" t="s">
        <v>0</v>
      </c>
      <c r="E2297" s="2" t="str">
        <f>"0005104559"</f>
        <v>0005104559</v>
      </c>
      <c r="F2297" s="5">
        <v>43913</v>
      </c>
      <c r="G2297" s="5">
        <v>54789</v>
      </c>
      <c r="H2297" s="4" t="str">
        <f>""</f>
        <v/>
      </c>
      <c r="I2297" s="4" t="str">
        <f>""</f>
        <v/>
      </c>
    </row>
    <row r="2298" spans="1:9" x14ac:dyDescent="0.3">
      <c r="A2298" s="1" t="str">
        <f>"60"</f>
        <v>60</v>
      </c>
      <c r="B2298" s="4" t="str">
        <f>"RECYCL'AUTO 60"</f>
        <v>RECYCL'AUTO 60</v>
      </c>
      <c r="C2298" s="4">
        <v>821501251</v>
      </c>
      <c r="D2298" s="3" t="s">
        <v>0</v>
      </c>
      <c r="E2298" s="2" t="str">
        <f>"PR6000034D"</f>
        <v>PR6000034D</v>
      </c>
      <c r="F2298" s="5">
        <v>42731</v>
      </c>
      <c r="G2298" s="5">
        <v>54789</v>
      </c>
      <c r="H2298" s="4" t="str">
        <f>""</f>
        <v/>
      </c>
      <c r="I2298" s="4" t="str">
        <f>""</f>
        <v/>
      </c>
    </row>
    <row r="2299" spans="1:9" x14ac:dyDescent="0.3">
      <c r="A2299" s="1" t="str">
        <f>"60"</f>
        <v>60</v>
      </c>
      <c r="B2299" s="4" t="str">
        <f>"RECYCL'AUTO 60"</f>
        <v>RECYCL'AUTO 60</v>
      </c>
      <c r="C2299" s="4">
        <v>821501251</v>
      </c>
      <c r="D2299" s="3" t="s">
        <v>0</v>
      </c>
      <c r="E2299" s="2" t="str">
        <f>"0005107624"</f>
        <v>0005107624</v>
      </c>
      <c r="F2299" s="5">
        <v>42731</v>
      </c>
      <c r="G2299" s="5">
        <v>54789</v>
      </c>
      <c r="H2299" s="4" t="str">
        <f>""</f>
        <v/>
      </c>
      <c r="I2299" s="4" t="str">
        <f>""</f>
        <v/>
      </c>
    </row>
    <row r="2300" spans="1:9" x14ac:dyDescent="0.3">
      <c r="A2300" s="1" t="str">
        <f>"60"</f>
        <v>60</v>
      </c>
      <c r="B2300" s="4" t="str">
        <f>"CREIL RECYCLAGE"</f>
        <v>CREIL RECYCLAGE</v>
      </c>
      <c r="C2300" s="4">
        <v>830798732</v>
      </c>
      <c r="D2300" s="3" t="s">
        <v>0</v>
      </c>
      <c r="E2300" s="2" t="str">
        <f>"PR6000044D"</f>
        <v>PR6000044D</v>
      </c>
      <c r="F2300" s="5">
        <v>43657</v>
      </c>
      <c r="G2300" s="5">
        <v>54789</v>
      </c>
      <c r="H2300" s="4" t="str">
        <f>""</f>
        <v/>
      </c>
      <c r="I2300" s="4" t="str">
        <f>""</f>
        <v/>
      </c>
    </row>
    <row r="2301" spans="1:9" x14ac:dyDescent="0.3">
      <c r="A2301" s="1" t="str">
        <f>"60"</f>
        <v>60</v>
      </c>
      <c r="B2301" s="4" t="str">
        <f>"CREIL RECYCLAGE"</f>
        <v>CREIL RECYCLAGE</v>
      </c>
      <c r="C2301" s="4">
        <v>830798732</v>
      </c>
      <c r="D2301" s="3" t="s">
        <v>0</v>
      </c>
      <c r="E2301" s="2" t="str">
        <f>"0005101095"</f>
        <v>0005101095</v>
      </c>
      <c r="F2301" s="5">
        <v>43657</v>
      </c>
      <c r="G2301" s="5">
        <v>54789</v>
      </c>
      <c r="H2301" s="4" t="str">
        <f>""</f>
        <v/>
      </c>
      <c r="I2301" s="4" t="str">
        <f>""</f>
        <v/>
      </c>
    </row>
    <row r="2302" spans="1:9" x14ac:dyDescent="0.3">
      <c r="A2302" s="1" t="str">
        <f>"60"</f>
        <v>60</v>
      </c>
      <c r="B2302" s="4" t="str">
        <f>"MAN AUTO"</f>
        <v>MAN AUTO</v>
      </c>
      <c r="C2302" s="4">
        <v>940798606</v>
      </c>
      <c r="D2302" s="3" t="s">
        <v>0</v>
      </c>
      <c r="E2302" s="2" t="str">
        <f>"PR6000007D"</f>
        <v>PR6000007D</v>
      </c>
      <c r="F2302" s="5">
        <v>45750</v>
      </c>
      <c r="G2302" s="5">
        <v>54789</v>
      </c>
      <c r="H2302" s="4" t="str">
        <f>""</f>
        <v/>
      </c>
      <c r="I2302" s="4" t="str">
        <f>""</f>
        <v/>
      </c>
    </row>
    <row r="2303" spans="1:9" x14ac:dyDescent="0.3">
      <c r="A2303" s="1" t="str">
        <f>"60"</f>
        <v>60</v>
      </c>
      <c r="B2303" s="4" t="str">
        <f>"MAN AUTO"</f>
        <v>MAN AUTO</v>
      </c>
      <c r="C2303" s="4">
        <v>940798606</v>
      </c>
      <c r="D2303" s="3" t="s">
        <v>0</v>
      </c>
      <c r="E2303" s="2" t="str">
        <f>"0100003889"</f>
        <v>0100003889</v>
      </c>
      <c r="F2303" s="5">
        <v>45750</v>
      </c>
      <c r="G2303" s="5">
        <v>54789</v>
      </c>
      <c r="H2303" s="4" t="str">
        <f>""</f>
        <v/>
      </c>
      <c r="I2303" s="4" t="str">
        <f>""</f>
        <v/>
      </c>
    </row>
    <row r="2304" spans="1:9" x14ac:dyDescent="0.3">
      <c r="A2304" s="1" t="str">
        <f>"61"</f>
        <v>61</v>
      </c>
      <c r="B2304" s="4" t="str">
        <f>"AUTO 61"</f>
        <v>AUTO 61</v>
      </c>
      <c r="C2304" s="4">
        <v>329725824</v>
      </c>
      <c r="D2304" s="3" t="s">
        <v>0</v>
      </c>
      <c r="E2304" s="2" t="str">
        <f>"PR6100002D"</f>
        <v>PR6100002D</v>
      </c>
      <c r="F2304" s="5">
        <v>41687</v>
      </c>
      <c r="G2304" s="5">
        <v>54789</v>
      </c>
      <c r="H2304" s="4" t="str">
        <f>""</f>
        <v/>
      </c>
      <c r="I2304" s="4" t="str">
        <f>""</f>
        <v/>
      </c>
    </row>
    <row r="2305" spans="1:9" x14ac:dyDescent="0.3">
      <c r="A2305" s="1" t="str">
        <f>"61"</f>
        <v>61</v>
      </c>
      <c r="B2305" s="4" t="str">
        <f>"AUTO 62"</f>
        <v>AUTO 62</v>
      </c>
      <c r="C2305" s="4">
        <v>329725824</v>
      </c>
      <c r="D2305" s="3" t="s">
        <v>0</v>
      </c>
      <c r="E2305" s="2" t="str">
        <f>"0005302226"</f>
        <v>0005302226</v>
      </c>
      <c r="F2305" s="5">
        <v>43878</v>
      </c>
      <c r="G2305" s="5">
        <v>54789</v>
      </c>
      <c r="H2305" s="4" t="str">
        <f>""</f>
        <v/>
      </c>
      <c r="I2305" s="4" t="str">
        <f>""</f>
        <v/>
      </c>
    </row>
    <row r="2306" spans="1:9" x14ac:dyDescent="0.3">
      <c r="A2306" s="1" t="str">
        <f>"61"</f>
        <v>61</v>
      </c>
      <c r="B2306" s="4" t="str">
        <f>"LEFEUVRIER"</f>
        <v>LEFEUVRIER</v>
      </c>
      <c r="C2306" s="4">
        <v>337564629</v>
      </c>
      <c r="D2306" s="3" t="s">
        <v>0</v>
      </c>
      <c r="E2306" s="2" t="str">
        <f>"PR61000014D"</f>
        <v>PR61000014D</v>
      </c>
      <c r="F2306" s="5">
        <v>39300</v>
      </c>
      <c r="G2306" s="5">
        <v>54789</v>
      </c>
      <c r="H2306" s="4" t="str">
        <f>""</f>
        <v/>
      </c>
      <c r="I2306" s="4" t="str">
        <f>""</f>
        <v/>
      </c>
    </row>
    <row r="2307" spans="1:9" x14ac:dyDescent="0.3">
      <c r="A2307" s="1" t="str">
        <f>"61"</f>
        <v>61</v>
      </c>
      <c r="B2307" s="4" t="str">
        <f>"ETABLISSEMENTS LE FEUVRIER"</f>
        <v>ETABLISSEMENTS LE FEUVRIER</v>
      </c>
      <c r="C2307" s="4">
        <v>337564630</v>
      </c>
      <c r="D2307" s="3" t="s">
        <v>0</v>
      </c>
      <c r="E2307" s="2" t="str">
        <f>"0005302566"</f>
        <v>0005302566</v>
      </c>
      <c r="F2307" s="5">
        <v>43553</v>
      </c>
      <c r="G2307" s="5">
        <v>54789</v>
      </c>
      <c r="H2307" s="4" t="str">
        <f>""</f>
        <v/>
      </c>
      <c r="I2307" s="4" t="str">
        <f>""</f>
        <v/>
      </c>
    </row>
    <row r="2308" spans="1:9" x14ac:dyDescent="0.3">
      <c r="A2308" s="1" t="str">
        <f>"61"</f>
        <v>61</v>
      </c>
      <c r="B2308" s="4" t="str">
        <f>"LELOUP AUTOS"</f>
        <v>LELOUP AUTOS</v>
      </c>
      <c r="C2308" s="4">
        <v>341152064</v>
      </c>
      <c r="D2308" s="3" t="s">
        <v>0</v>
      </c>
      <c r="E2308" s="2" t="str">
        <f>"0005302525"</f>
        <v>0005302525</v>
      </c>
      <c r="F2308" s="5">
        <v>43216</v>
      </c>
      <c r="G2308" s="5">
        <v>54789</v>
      </c>
      <c r="H2308" s="4" t="str">
        <f>""</f>
        <v/>
      </c>
      <c r="I2308" s="4" t="str">
        <f>""</f>
        <v/>
      </c>
    </row>
    <row r="2309" spans="1:9" x14ac:dyDescent="0.3">
      <c r="A2309" s="1" t="str">
        <f>"61"</f>
        <v>61</v>
      </c>
      <c r="B2309" s="4" t="str">
        <f>"LELOUP AUTOS"</f>
        <v>LELOUP AUTOS</v>
      </c>
      <c r="C2309" s="4">
        <v>341152064</v>
      </c>
      <c r="D2309" s="3" t="s">
        <v>0</v>
      </c>
      <c r="E2309" s="2" t="str">
        <f>"PR6100016D"</f>
        <v>PR6100016D</v>
      </c>
      <c r="F2309" s="5">
        <v>43216</v>
      </c>
      <c r="G2309" s="5">
        <v>54789</v>
      </c>
      <c r="H2309" s="4" t="str">
        <f>""</f>
        <v/>
      </c>
      <c r="I2309" s="4" t="str">
        <f>""</f>
        <v/>
      </c>
    </row>
    <row r="2310" spans="1:9" x14ac:dyDescent="0.3">
      <c r="A2310" s="1" t="str">
        <f>"61"</f>
        <v>61</v>
      </c>
      <c r="B2310" s="4" t="str">
        <f>"DPE"</f>
        <v>DPE</v>
      </c>
      <c r="C2310" s="4">
        <v>344919998</v>
      </c>
      <c r="D2310" s="3" t="s">
        <v>0</v>
      </c>
      <c r="E2310" s="2" t="str">
        <f>"PR6100027D"</f>
        <v>PR6100027D</v>
      </c>
      <c r="F2310" s="5">
        <v>43270</v>
      </c>
      <c r="G2310" s="5">
        <v>54789</v>
      </c>
      <c r="H2310" s="4" t="str">
        <f>""</f>
        <v/>
      </c>
      <c r="I2310" s="4" t="str">
        <f>""</f>
        <v/>
      </c>
    </row>
    <row r="2311" spans="1:9" x14ac:dyDescent="0.3">
      <c r="A2311" s="1" t="str">
        <f>"61"</f>
        <v>61</v>
      </c>
      <c r="B2311" s="4" t="str">
        <f>"DPE"</f>
        <v>DPE</v>
      </c>
      <c r="C2311" s="4">
        <v>344919998</v>
      </c>
      <c r="D2311" s="3" t="s">
        <v>0</v>
      </c>
      <c r="E2311" s="2" t="str">
        <f>"0005302254"</f>
        <v>0005302254</v>
      </c>
      <c r="F2311" s="5">
        <v>43270</v>
      </c>
      <c r="G2311" s="5">
        <v>54789</v>
      </c>
      <c r="H2311" s="4" t="str">
        <f>""</f>
        <v/>
      </c>
      <c r="I2311" s="4" t="str">
        <f>""</f>
        <v/>
      </c>
    </row>
    <row r="2312" spans="1:9" x14ac:dyDescent="0.3">
      <c r="A2312" s="1" t="str">
        <f>"61"</f>
        <v>61</v>
      </c>
      <c r="B2312" s="4" t="str">
        <f>"JOANNIN PIECES AUTO 61"</f>
        <v>JOANNIN PIECES AUTO 61</v>
      </c>
      <c r="C2312" s="4">
        <v>403189475</v>
      </c>
      <c r="D2312" s="3" t="s">
        <v>0</v>
      </c>
      <c r="E2312" s="2" t="str">
        <f>"PR6100008D"</f>
        <v>PR6100008D</v>
      </c>
      <c r="F2312" s="5">
        <v>43482</v>
      </c>
      <c r="G2312" s="5">
        <v>54789</v>
      </c>
      <c r="H2312" s="4" t="str">
        <f>""</f>
        <v/>
      </c>
      <c r="I2312" s="4" t="str">
        <f>""</f>
        <v/>
      </c>
    </row>
    <row r="2313" spans="1:9" x14ac:dyDescent="0.3">
      <c r="A2313" s="1" t="str">
        <f>"61"</f>
        <v>61</v>
      </c>
      <c r="B2313" s="4" t="str">
        <f>"JOANNIN PIECES AUTO 62"</f>
        <v>JOANNIN PIECES AUTO 62</v>
      </c>
      <c r="C2313" s="4">
        <v>403189475</v>
      </c>
      <c r="D2313" s="3" t="s">
        <v>0</v>
      </c>
      <c r="E2313" s="2" t="str">
        <f>"0005302316"</f>
        <v>0005302316</v>
      </c>
      <c r="F2313" s="5">
        <v>43482</v>
      </c>
      <c r="G2313" s="5">
        <v>54789</v>
      </c>
      <c r="H2313" s="4" t="str">
        <f>""</f>
        <v/>
      </c>
      <c r="I2313" s="4" t="str">
        <f>""</f>
        <v/>
      </c>
    </row>
    <row r="2314" spans="1:9" x14ac:dyDescent="0.3">
      <c r="A2314" s="1" t="str">
        <f>"61"</f>
        <v>61</v>
      </c>
      <c r="B2314" s="4" t="str">
        <f>"COQUATRIX"</f>
        <v>COQUATRIX</v>
      </c>
      <c r="C2314" s="4">
        <v>409798683</v>
      </c>
      <c r="D2314" s="3" t="s">
        <v>0</v>
      </c>
      <c r="E2314" s="2" t="str">
        <f>"PR61000017D"</f>
        <v>PR61000017D</v>
      </c>
      <c r="F2314" s="5">
        <v>42682</v>
      </c>
      <c r="G2314" s="5">
        <v>54789</v>
      </c>
      <c r="H2314" s="4" t="str">
        <f>""</f>
        <v/>
      </c>
      <c r="I2314" s="4" t="str">
        <f>""</f>
        <v/>
      </c>
    </row>
    <row r="2315" spans="1:9" x14ac:dyDescent="0.3">
      <c r="A2315" s="1" t="str">
        <f>"61"</f>
        <v>61</v>
      </c>
      <c r="B2315" s="4" t="str">
        <f>"COQUATRIX"</f>
        <v>COQUATRIX</v>
      </c>
      <c r="C2315" s="4">
        <v>409798683</v>
      </c>
      <c r="D2315" s="3" t="s">
        <v>0</v>
      </c>
      <c r="E2315" s="2" t="str">
        <f>"0005302627"</f>
        <v>0005302627</v>
      </c>
      <c r="F2315" s="5">
        <v>42093</v>
      </c>
      <c r="G2315" s="5">
        <v>54789</v>
      </c>
      <c r="H2315" s="4" t="str">
        <f>""</f>
        <v/>
      </c>
      <c r="I2315" s="4" t="str">
        <f>""</f>
        <v/>
      </c>
    </row>
    <row r="2316" spans="1:9" x14ac:dyDescent="0.3">
      <c r="A2316" s="1" t="str">
        <f>"61"</f>
        <v>61</v>
      </c>
      <c r="B2316" s="4" t="str">
        <f>"THEBAULT AUTO PIECES"</f>
        <v>THEBAULT AUTO PIECES</v>
      </c>
      <c r="C2316" s="4">
        <v>424778561</v>
      </c>
      <c r="D2316" s="3" t="s">
        <v>0</v>
      </c>
      <c r="E2316" s="2" t="str">
        <f>"0005302464"</f>
        <v>0005302464</v>
      </c>
      <c r="F2316" s="5">
        <v>43485</v>
      </c>
      <c r="G2316" s="5">
        <v>54789</v>
      </c>
      <c r="H2316" s="4" t="str">
        <f>""</f>
        <v/>
      </c>
      <c r="I2316" s="4" t="str">
        <f>""</f>
        <v/>
      </c>
    </row>
    <row r="2317" spans="1:9" x14ac:dyDescent="0.3">
      <c r="A2317" s="1" t="str">
        <f>"61"</f>
        <v>61</v>
      </c>
      <c r="B2317" s="4" t="str">
        <f>"THEBAULT AUTO PIECES"</f>
        <v>THEBAULT AUTO PIECES</v>
      </c>
      <c r="C2317" s="4">
        <v>424778561</v>
      </c>
      <c r="D2317" s="3" t="s">
        <v>0</v>
      </c>
      <c r="E2317" s="2" t="str">
        <f>"PR6100007D"</f>
        <v>PR6100007D</v>
      </c>
      <c r="F2317" s="5">
        <v>38930</v>
      </c>
      <c r="G2317" s="5">
        <v>54789</v>
      </c>
      <c r="H2317" s="4" t="str">
        <f>""</f>
        <v/>
      </c>
      <c r="I2317" s="4" t="str">
        <f>""</f>
        <v/>
      </c>
    </row>
    <row r="2318" spans="1:9" x14ac:dyDescent="0.3">
      <c r="A2318" s="1" t="str">
        <f>"61"</f>
        <v>61</v>
      </c>
      <c r="B2318" s="4" t="str">
        <f>"TL AUTO"</f>
        <v>TL AUTO</v>
      </c>
      <c r="C2318" s="4">
        <v>432000800</v>
      </c>
      <c r="D2318" s="3" t="s">
        <v>0</v>
      </c>
      <c r="E2318" s="2" t="str">
        <f>"PR6100013D"</f>
        <v>PR6100013D</v>
      </c>
      <c r="F2318" s="5">
        <v>41466</v>
      </c>
      <c r="G2318" s="5">
        <v>54789</v>
      </c>
      <c r="H2318" s="4" t="str">
        <f>""</f>
        <v/>
      </c>
      <c r="I2318" s="4" t="str">
        <f>""</f>
        <v/>
      </c>
    </row>
    <row r="2319" spans="1:9" x14ac:dyDescent="0.3">
      <c r="A2319" s="1" t="str">
        <f>"61"</f>
        <v>61</v>
      </c>
      <c r="B2319" s="4" t="str">
        <f>"TL AUTO"</f>
        <v>TL AUTO</v>
      </c>
      <c r="C2319" s="4">
        <v>432000800</v>
      </c>
      <c r="D2319" s="3" t="s">
        <v>0</v>
      </c>
      <c r="E2319" s="2" t="str">
        <f>"0005302289"</f>
        <v>0005302289</v>
      </c>
      <c r="F2319" s="5">
        <v>43657</v>
      </c>
      <c r="G2319" s="5">
        <v>54789</v>
      </c>
      <c r="H2319" s="4" t="str">
        <f>""</f>
        <v/>
      </c>
      <c r="I2319" s="4" t="str">
        <f>""</f>
        <v/>
      </c>
    </row>
    <row r="2320" spans="1:9" x14ac:dyDescent="0.3">
      <c r="A2320" s="1" t="str">
        <f>"61"</f>
        <v>61</v>
      </c>
      <c r="B2320" s="4" t="str">
        <f>"AUTO DISCOUNT 61"</f>
        <v>AUTO DISCOUNT 61</v>
      </c>
      <c r="C2320" s="4">
        <v>439647462</v>
      </c>
      <c r="D2320" s="3" t="s">
        <v>0</v>
      </c>
      <c r="E2320" s="2" t="str">
        <f>"PR61000018D"</f>
        <v>PR61000018D</v>
      </c>
      <c r="F2320" s="5">
        <v>40190</v>
      </c>
      <c r="G2320" s="5">
        <v>54789</v>
      </c>
      <c r="H2320" s="4" t="str">
        <f>""</f>
        <v/>
      </c>
      <c r="I2320" s="4" t="str">
        <f>""</f>
        <v/>
      </c>
    </row>
    <row r="2321" spans="1:9" x14ac:dyDescent="0.3">
      <c r="A2321" s="1" t="str">
        <f>"61"</f>
        <v>61</v>
      </c>
      <c r="B2321" s="4" t="str">
        <f>"AUTO DISCOUNT 62"</f>
        <v>AUTO DISCOUNT 62</v>
      </c>
      <c r="C2321" s="4">
        <v>439647462</v>
      </c>
      <c r="D2321" s="3" t="s">
        <v>0</v>
      </c>
      <c r="E2321" s="2" t="str">
        <f>"0005305740"</f>
        <v>0005305740</v>
      </c>
      <c r="F2321" s="5">
        <v>42381</v>
      </c>
      <c r="G2321" s="5">
        <v>54789</v>
      </c>
      <c r="H2321" s="4" t="str">
        <f>""</f>
        <v/>
      </c>
      <c r="I2321" s="4" t="str">
        <f>""</f>
        <v/>
      </c>
    </row>
    <row r="2322" spans="1:9" x14ac:dyDescent="0.3">
      <c r="A2322" s="1" t="str">
        <f>"61"</f>
        <v>61</v>
      </c>
      <c r="B2322" s="4" t="str">
        <f>"S2A"</f>
        <v>S2A</v>
      </c>
      <c r="C2322" s="4">
        <v>509540258</v>
      </c>
      <c r="D2322" s="3" t="s">
        <v>0</v>
      </c>
      <c r="E2322" s="2" t="str">
        <f>"0005302317"</f>
        <v>0005302317</v>
      </c>
      <c r="F2322" s="5">
        <v>43746</v>
      </c>
      <c r="G2322" s="5">
        <v>54789</v>
      </c>
      <c r="H2322" s="4" t="str">
        <f>""</f>
        <v/>
      </c>
      <c r="I2322" s="4" t="str">
        <f>""</f>
        <v/>
      </c>
    </row>
    <row r="2323" spans="1:9" x14ac:dyDescent="0.3">
      <c r="A2323" s="1" t="str">
        <f>"61"</f>
        <v>61</v>
      </c>
      <c r="B2323" s="4" t="str">
        <f>"S2A"</f>
        <v>S2A</v>
      </c>
      <c r="C2323" s="4">
        <v>509540258</v>
      </c>
      <c r="D2323" s="3" t="s">
        <v>0</v>
      </c>
      <c r="E2323" s="2" t="str">
        <f>"PR61000015D"</f>
        <v>PR61000015D</v>
      </c>
      <c r="F2323" s="5">
        <v>39801</v>
      </c>
      <c r="G2323" s="5">
        <v>54789</v>
      </c>
      <c r="H2323" s="4" t="str">
        <f>""</f>
        <v/>
      </c>
      <c r="I2323" s="4" t="str">
        <f>""</f>
        <v/>
      </c>
    </row>
    <row r="2324" spans="1:9" x14ac:dyDescent="0.3">
      <c r="A2324" s="1" t="str">
        <f>"61"</f>
        <v>61</v>
      </c>
      <c r="B2324" s="4" t="str">
        <f>"APO"</f>
        <v>APO</v>
      </c>
      <c r="C2324" s="4">
        <v>521968537</v>
      </c>
      <c r="D2324" s="3" t="s">
        <v>0</v>
      </c>
      <c r="E2324" s="2" t="str">
        <f>"PR6100023D"</f>
        <v>PR6100023D</v>
      </c>
      <c r="F2324" s="5">
        <v>42445</v>
      </c>
      <c r="G2324" s="5">
        <v>54789</v>
      </c>
      <c r="H2324" s="4" t="str">
        <f>""</f>
        <v/>
      </c>
      <c r="I2324" s="4" t="str">
        <f>""</f>
        <v/>
      </c>
    </row>
    <row r="2325" spans="1:9" x14ac:dyDescent="0.3">
      <c r="A2325" s="1" t="str">
        <f>"61"</f>
        <v>61</v>
      </c>
      <c r="B2325" s="4" t="str">
        <f>"REVIVAL"</f>
        <v>REVIVAL</v>
      </c>
      <c r="C2325" s="4">
        <v>616620092</v>
      </c>
      <c r="D2325" s="3" t="s">
        <v>0</v>
      </c>
      <c r="E2325" s="2" t="str">
        <f>"0005302629"</f>
        <v>0005302629</v>
      </c>
      <c r="F2325" s="5">
        <v>44977</v>
      </c>
      <c r="G2325" s="5">
        <v>54789</v>
      </c>
      <c r="H2325" s="4" t="str">
        <f>""</f>
        <v/>
      </c>
      <c r="I2325" s="4" t="str">
        <f>""</f>
        <v/>
      </c>
    </row>
    <row r="2326" spans="1:9" x14ac:dyDescent="0.3">
      <c r="A2326" s="1" t="str">
        <f>"61"</f>
        <v>61</v>
      </c>
      <c r="B2326" s="4" t="str">
        <f>"REVIVAL"</f>
        <v>REVIVAL</v>
      </c>
      <c r="C2326" s="4">
        <v>616620093</v>
      </c>
      <c r="D2326" s="3" t="s">
        <v>0</v>
      </c>
      <c r="E2326" s="2" t="str">
        <f>"0005302516"</f>
        <v>0005302516</v>
      </c>
      <c r="F2326" s="5">
        <v>43881</v>
      </c>
      <c r="G2326" s="5">
        <v>54789</v>
      </c>
      <c r="H2326" s="4" t="str">
        <f>""</f>
        <v/>
      </c>
      <c r="I2326" s="4" t="str">
        <f>""</f>
        <v/>
      </c>
    </row>
    <row r="2327" spans="1:9" x14ac:dyDescent="0.3">
      <c r="A2327" s="1" t="str">
        <f>"61"</f>
        <v>61</v>
      </c>
      <c r="B2327" s="4" t="str">
        <f>"GUY DAUPHIN ENVIRONNEMENT"</f>
        <v>GUY DAUPHIN ENVIRONNEMENT</v>
      </c>
      <c r="C2327" s="4">
        <v>653820530</v>
      </c>
      <c r="D2327" s="3" t="s">
        <v>0</v>
      </c>
      <c r="E2327" s="2" t="str">
        <f>"PR6100006D"</f>
        <v>PR6100006D</v>
      </c>
      <c r="F2327" s="5">
        <v>44293</v>
      </c>
      <c r="G2327" s="5">
        <v>54789</v>
      </c>
      <c r="H2327" s="4" t="str">
        <f>""</f>
        <v/>
      </c>
      <c r="I2327" s="4" t="str">
        <f>""</f>
        <v/>
      </c>
    </row>
    <row r="2328" spans="1:9" x14ac:dyDescent="0.3">
      <c r="A2328" s="1" t="str">
        <f>"61"</f>
        <v>61</v>
      </c>
      <c r="B2328" s="4" t="str">
        <f>"GH Auto"</f>
        <v>GH Auto</v>
      </c>
      <c r="C2328" s="4">
        <v>823894415</v>
      </c>
      <c r="D2328" s="3" t="s">
        <v>0</v>
      </c>
      <c r="E2328" s="2" t="str">
        <f>"PR6100028D"</f>
        <v>PR6100028D</v>
      </c>
      <c r="F2328" s="5">
        <v>43446</v>
      </c>
      <c r="G2328" s="5">
        <v>54789</v>
      </c>
      <c r="H2328" s="4" t="str">
        <f>""</f>
        <v/>
      </c>
      <c r="I2328" s="4" t="str">
        <f>""</f>
        <v/>
      </c>
    </row>
    <row r="2329" spans="1:9" x14ac:dyDescent="0.3">
      <c r="A2329" s="1" t="str">
        <f>"61"</f>
        <v>61</v>
      </c>
      <c r="B2329" s="4" t="str">
        <f>"GH Auto"</f>
        <v>GH Auto</v>
      </c>
      <c r="C2329" s="4">
        <v>823894415</v>
      </c>
      <c r="D2329" s="3" t="s">
        <v>0</v>
      </c>
      <c r="E2329" s="2" t="str">
        <f>"0003900667"</f>
        <v>0003900667</v>
      </c>
      <c r="F2329" s="5">
        <v>43446</v>
      </c>
      <c r="G2329" s="5">
        <v>54789</v>
      </c>
      <c r="H2329" s="4" t="str">
        <f>""</f>
        <v/>
      </c>
      <c r="I2329" s="4" t="str">
        <f>""</f>
        <v/>
      </c>
    </row>
    <row r="2330" spans="1:9" x14ac:dyDescent="0.3">
      <c r="A2330" s="1" t="str">
        <f>"61"</f>
        <v>61</v>
      </c>
      <c r="B2330" s="4" t="str">
        <f>"SG SAINT GEORGES AUTOMOBILES"</f>
        <v>SG SAINT GEORGES AUTOMOBILES</v>
      </c>
      <c r="C2330" s="4">
        <v>831576160</v>
      </c>
      <c r="D2330" s="3" t="s">
        <v>0</v>
      </c>
      <c r="E2330" s="2" t="str">
        <f>"PR6100026D"</f>
        <v>PR6100026D</v>
      </c>
      <c r="F2330" s="5">
        <v>43150</v>
      </c>
      <c r="G2330" s="5">
        <v>54789</v>
      </c>
      <c r="H2330" s="4" t="str">
        <f>""</f>
        <v/>
      </c>
      <c r="I2330" s="4" t="str">
        <f>""</f>
        <v/>
      </c>
    </row>
    <row r="2331" spans="1:9" x14ac:dyDescent="0.3">
      <c r="A2331" s="1" t="str">
        <f>"61"</f>
        <v>61</v>
      </c>
      <c r="B2331" s="4" t="str">
        <f>"SG SAINT GEORGES AUTOMOBILES"</f>
        <v>SG SAINT GEORGES AUTOMOBILES</v>
      </c>
      <c r="C2331" s="4">
        <v>831576160</v>
      </c>
      <c r="D2331" s="3" t="s">
        <v>0</v>
      </c>
      <c r="E2331" s="2" t="str">
        <f>"0005302465"</f>
        <v>0005302465</v>
      </c>
      <c r="F2331" s="5">
        <v>43150</v>
      </c>
      <c r="G2331" s="5">
        <v>54789</v>
      </c>
      <c r="H2331" s="4" t="str">
        <f>""</f>
        <v/>
      </c>
      <c r="I2331" s="4" t="str">
        <f>""</f>
        <v/>
      </c>
    </row>
    <row r="2332" spans="1:9" x14ac:dyDescent="0.3">
      <c r="A2332" s="1" t="str">
        <f>"62"</f>
        <v>62</v>
      </c>
      <c r="B2332" s="4" t="str">
        <f>"Société ARTOIS METAUX"</f>
        <v>Société ARTOIS METAUX</v>
      </c>
      <c r="C2332" s="4">
        <v>326084662</v>
      </c>
      <c r="D2332" s="3" t="s">
        <v>0</v>
      </c>
      <c r="E2332" s="2" t="str">
        <f>"PR62000042D"</f>
        <v>PR62000042D</v>
      </c>
      <c r="F2332" s="5">
        <v>41061</v>
      </c>
      <c r="G2332" s="5">
        <v>54789</v>
      </c>
      <c r="H2332" s="4" t="str">
        <f>""</f>
        <v/>
      </c>
      <c r="I2332" s="4" t="str">
        <f>""</f>
        <v/>
      </c>
    </row>
    <row r="2333" spans="1:9" x14ac:dyDescent="0.3">
      <c r="A2333" s="1" t="str">
        <f>"62"</f>
        <v>62</v>
      </c>
      <c r="B2333" s="4" t="str">
        <f>"Société ARTOIS METAUX"</f>
        <v>Société ARTOIS METAUX</v>
      </c>
      <c r="C2333" s="4">
        <v>326084662</v>
      </c>
      <c r="D2333" s="3" t="s">
        <v>0</v>
      </c>
      <c r="E2333" s="2" t="str">
        <f>"0007005260"</f>
        <v>0007005260</v>
      </c>
      <c r="F2333" s="5">
        <v>41061</v>
      </c>
      <c r="G2333" s="5">
        <v>54789</v>
      </c>
      <c r="H2333" s="4" t="str">
        <f>""</f>
        <v/>
      </c>
      <c r="I2333" s="4" t="str">
        <f>""</f>
        <v/>
      </c>
    </row>
    <row r="2334" spans="1:9" x14ac:dyDescent="0.3">
      <c r="A2334" s="1" t="str">
        <f>"62"</f>
        <v>62</v>
      </c>
      <c r="B2334" s="4" t="str">
        <f>"Société Maurice HARDY et Fils"</f>
        <v>Société Maurice HARDY et Fils</v>
      </c>
      <c r="C2334" s="4">
        <v>328716733</v>
      </c>
      <c r="D2334" s="3" t="s">
        <v>0</v>
      </c>
      <c r="E2334" s="2" t="str">
        <f>"PR62000014D"</f>
        <v>PR62000014D</v>
      </c>
      <c r="F2334" s="5">
        <v>38999</v>
      </c>
      <c r="G2334" s="5">
        <v>54789</v>
      </c>
      <c r="H2334" s="4" t="str">
        <f>""</f>
        <v/>
      </c>
      <c r="I2334" s="4" t="str">
        <f>""</f>
        <v/>
      </c>
    </row>
    <row r="2335" spans="1:9" x14ac:dyDescent="0.3">
      <c r="A2335" s="1" t="str">
        <f>"62"</f>
        <v>62</v>
      </c>
      <c r="B2335" s="4" t="str">
        <f>"Société Maurice HARDY et Fils"</f>
        <v>Société Maurice HARDY et Fils</v>
      </c>
      <c r="C2335" s="4">
        <v>328716733</v>
      </c>
      <c r="D2335" s="3" t="s">
        <v>0</v>
      </c>
      <c r="E2335" s="2" t="str">
        <f>"0007001818"</f>
        <v>0007001818</v>
      </c>
      <c r="F2335" s="5">
        <v>38999</v>
      </c>
      <c r="G2335" s="5">
        <v>54789</v>
      </c>
      <c r="H2335" s="4" t="str">
        <f>""</f>
        <v/>
      </c>
      <c r="I2335" s="4" t="str">
        <f>""</f>
        <v/>
      </c>
    </row>
    <row r="2336" spans="1:9" x14ac:dyDescent="0.3">
      <c r="A2336" s="1" t="str">
        <f>"62"</f>
        <v>62</v>
      </c>
      <c r="B2336" s="4" t="str">
        <f>"SARL DOURGEOISE DE RECUPERATION ET DE TRAVAUX(DRT)"</f>
        <v>SARL DOURGEOISE DE RECUPERATION ET DE TRAVAUX(DRT)</v>
      </c>
      <c r="C2336" s="4">
        <v>330565557</v>
      </c>
      <c r="D2336" s="3" t="s">
        <v>0</v>
      </c>
      <c r="E2336" s="2" t="str">
        <f>"PR62000027D"</f>
        <v>PR62000027D</v>
      </c>
      <c r="F2336" s="5">
        <v>39524</v>
      </c>
      <c r="G2336" s="5">
        <v>54789</v>
      </c>
      <c r="H2336" s="4" t="str">
        <f>""</f>
        <v/>
      </c>
      <c r="I2336" s="4" t="str">
        <f>""</f>
        <v/>
      </c>
    </row>
    <row r="2337" spans="1:9" x14ac:dyDescent="0.3">
      <c r="A2337" s="1" t="str">
        <f>"62"</f>
        <v>62</v>
      </c>
      <c r="B2337" s="4" t="str">
        <f>"SARL DOURGEOISE DE RECUPERATION ET DE TRAVAUX(DRT)"</f>
        <v>SARL DOURGEOISE DE RECUPERATION ET DE TRAVAUX(DRT)</v>
      </c>
      <c r="C2337" s="4">
        <v>330565557</v>
      </c>
      <c r="D2337" s="3" t="s">
        <v>0</v>
      </c>
      <c r="E2337" s="2" t="str">
        <f>"0007001562"</f>
        <v>0007001562</v>
      </c>
      <c r="F2337" s="5">
        <v>39524</v>
      </c>
      <c r="G2337" s="5">
        <v>54789</v>
      </c>
      <c r="H2337" s="4" t="str">
        <f>""</f>
        <v/>
      </c>
      <c r="I2337" s="4" t="str">
        <f>""</f>
        <v/>
      </c>
    </row>
    <row r="2338" spans="1:9" x14ac:dyDescent="0.3">
      <c r="A2338" s="1" t="str">
        <f>"62"</f>
        <v>62</v>
      </c>
      <c r="B2338" s="4" t="str">
        <f>"Société LEJEUNE Automobiles"</f>
        <v>Société LEJEUNE Automobiles</v>
      </c>
      <c r="C2338" s="4">
        <v>335358016</v>
      </c>
      <c r="D2338" s="3" t="s">
        <v>0</v>
      </c>
      <c r="E2338" s="2" t="str">
        <f>"PR6200008D"</f>
        <v>PR6200008D</v>
      </c>
      <c r="F2338" s="5">
        <v>38916</v>
      </c>
      <c r="G2338" s="5">
        <v>54789</v>
      </c>
      <c r="H2338" s="4" t="str">
        <f>""</f>
        <v/>
      </c>
      <c r="I2338" s="4" t="str">
        <f>""</f>
        <v/>
      </c>
    </row>
    <row r="2339" spans="1:9" x14ac:dyDescent="0.3">
      <c r="A2339" s="1" t="str">
        <f>"62"</f>
        <v>62</v>
      </c>
      <c r="B2339" s="4" t="str">
        <f>"Société LEJEUNE Automobiles"</f>
        <v>Société LEJEUNE Automobiles</v>
      </c>
      <c r="C2339" s="4">
        <v>335358016</v>
      </c>
      <c r="D2339" s="3" t="s">
        <v>0</v>
      </c>
      <c r="E2339" s="2" t="str">
        <f>"0007001911"</f>
        <v>0007001911</v>
      </c>
      <c r="F2339" s="5">
        <v>38916</v>
      </c>
      <c r="G2339" s="5">
        <v>54789</v>
      </c>
      <c r="H2339" s="4" t="str">
        <f>""</f>
        <v/>
      </c>
      <c r="I2339" s="4" t="str">
        <f>""</f>
        <v/>
      </c>
    </row>
    <row r="2340" spans="1:9" x14ac:dyDescent="0.3">
      <c r="A2340" s="1" t="str">
        <f>"62"</f>
        <v>62</v>
      </c>
      <c r="B2340" s="4" t="str">
        <f>"STE BONNEL et FILS"</f>
        <v>STE BONNEL et FILS</v>
      </c>
      <c r="C2340" s="4">
        <v>340430925</v>
      </c>
      <c r="D2340" s="3" t="s">
        <v>0</v>
      </c>
      <c r="E2340" s="2" t="str">
        <f>"PR6200003D"</f>
        <v>PR6200003D</v>
      </c>
      <c r="F2340" s="5">
        <v>38868</v>
      </c>
      <c r="G2340" s="5">
        <v>54789</v>
      </c>
      <c r="H2340" s="4" t="str">
        <f>""</f>
        <v/>
      </c>
      <c r="I2340" s="4" t="str">
        <f>""</f>
        <v/>
      </c>
    </row>
    <row r="2341" spans="1:9" x14ac:dyDescent="0.3">
      <c r="A2341" s="1" t="str">
        <f>"62"</f>
        <v>62</v>
      </c>
      <c r="B2341" s="4" t="str">
        <f>"STE BONNEL et FILS"</f>
        <v>STE BONNEL et FILS</v>
      </c>
      <c r="C2341" s="4">
        <v>340430925</v>
      </c>
      <c r="D2341" s="3" t="s">
        <v>0</v>
      </c>
      <c r="E2341" s="2" t="str">
        <f>"0007001365"</f>
        <v>0007001365</v>
      </c>
      <c r="F2341" s="5">
        <v>38868</v>
      </c>
      <c r="G2341" s="5">
        <v>54789</v>
      </c>
      <c r="H2341" s="4" t="str">
        <f>""</f>
        <v/>
      </c>
      <c r="I2341" s="4" t="str">
        <f>""</f>
        <v/>
      </c>
    </row>
    <row r="2342" spans="1:9" x14ac:dyDescent="0.3">
      <c r="A2342" s="1" t="str">
        <f>"62"</f>
        <v>62</v>
      </c>
      <c r="B2342" s="4" t="str">
        <f>"SARL LAVOCAT Automobiles"</f>
        <v>SARL LAVOCAT Automobiles</v>
      </c>
      <c r="C2342" s="4">
        <v>353012859</v>
      </c>
      <c r="D2342" s="3" t="s">
        <v>0</v>
      </c>
      <c r="E2342" s="2" t="str">
        <f>"PR6200001D"</f>
        <v>PR6200001D</v>
      </c>
      <c r="F2342" s="5">
        <v>38853</v>
      </c>
      <c r="G2342" s="5">
        <v>54789</v>
      </c>
      <c r="H2342" s="4" t="str">
        <f>""</f>
        <v/>
      </c>
      <c r="I2342" s="4" t="str">
        <f>""</f>
        <v/>
      </c>
    </row>
    <row r="2343" spans="1:9" x14ac:dyDescent="0.3">
      <c r="A2343" s="1" t="str">
        <f>"62"</f>
        <v>62</v>
      </c>
      <c r="B2343" s="4" t="str">
        <f>"SARL LAVOCAT Automobiles"</f>
        <v>SARL LAVOCAT Automobiles</v>
      </c>
      <c r="C2343" s="4">
        <v>353012859</v>
      </c>
      <c r="D2343" s="3" t="s">
        <v>0</v>
      </c>
      <c r="E2343" s="2" t="str">
        <f>"0007001897"</f>
        <v>0007001897</v>
      </c>
      <c r="F2343" s="5">
        <v>38853</v>
      </c>
      <c r="G2343" s="5">
        <v>54789</v>
      </c>
      <c r="H2343" s="4" t="str">
        <f>""</f>
        <v/>
      </c>
      <c r="I2343" s="4" t="str">
        <f>""</f>
        <v/>
      </c>
    </row>
    <row r="2344" spans="1:9" x14ac:dyDescent="0.3">
      <c r="A2344" s="1" t="str">
        <f>"62"</f>
        <v>62</v>
      </c>
      <c r="B2344" s="4" t="str">
        <f>"SARL ROCHE AUTO RECUPERATION"</f>
        <v>SARL ROCHE AUTO RECUPERATION</v>
      </c>
      <c r="C2344" s="4">
        <v>353699200</v>
      </c>
      <c r="D2344" s="3" t="s">
        <v>0</v>
      </c>
      <c r="E2344" s="2" t="str">
        <f>"007002159"</f>
        <v>007002159</v>
      </c>
      <c r="F2344" s="5">
        <v>39281</v>
      </c>
      <c r="G2344" s="5">
        <v>54789</v>
      </c>
      <c r="H2344" s="4" t="str">
        <f>""</f>
        <v/>
      </c>
      <c r="I2344" s="4" t="str">
        <f>""</f>
        <v/>
      </c>
    </row>
    <row r="2345" spans="1:9" x14ac:dyDescent="0.3">
      <c r="A2345" s="1" t="str">
        <f>"62"</f>
        <v>62</v>
      </c>
      <c r="B2345" s="4" t="str">
        <f>"STE SRMA"</f>
        <v>STE SRMA</v>
      </c>
      <c r="C2345" s="4">
        <v>354200156</v>
      </c>
      <c r="D2345" s="3" t="s">
        <v>0</v>
      </c>
      <c r="E2345" s="2" t="str">
        <f>"PR62000032D"</f>
        <v>PR62000032D</v>
      </c>
      <c r="F2345" s="5">
        <v>39821</v>
      </c>
      <c r="G2345" s="5">
        <v>54789</v>
      </c>
      <c r="H2345" s="4" t="str">
        <f>""</f>
        <v/>
      </c>
      <c r="I2345" s="4" t="str">
        <f>""</f>
        <v/>
      </c>
    </row>
    <row r="2346" spans="1:9" x14ac:dyDescent="0.3">
      <c r="A2346" s="1" t="str">
        <f>"62"</f>
        <v>62</v>
      </c>
      <c r="B2346" s="4" t="str">
        <f>"STE SRMA"</f>
        <v>STE SRMA</v>
      </c>
      <c r="C2346" s="4">
        <v>354200156</v>
      </c>
      <c r="D2346" s="3" t="s">
        <v>0</v>
      </c>
      <c r="E2346" s="2" t="str">
        <f>"0007002181"</f>
        <v>0007002181</v>
      </c>
      <c r="F2346" s="5">
        <v>39821</v>
      </c>
      <c r="G2346" s="5">
        <v>54789</v>
      </c>
      <c r="H2346" s="4" t="str">
        <f>""</f>
        <v/>
      </c>
      <c r="I2346" s="4" t="str">
        <f>""</f>
        <v/>
      </c>
    </row>
    <row r="2347" spans="1:9" x14ac:dyDescent="0.3">
      <c r="A2347" s="1" t="str">
        <f>"62"</f>
        <v>62</v>
      </c>
      <c r="B2347" s="4" t="str">
        <f>"RECYCLE AUTOS"</f>
        <v>RECYCLE AUTOS</v>
      </c>
      <c r="C2347" s="4">
        <v>378362156</v>
      </c>
      <c r="D2347" s="3" t="s">
        <v>0</v>
      </c>
      <c r="E2347" s="2" t="str">
        <f>"PR6200054D"</f>
        <v>PR6200054D</v>
      </c>
      <c r="F2347" s="5">
        <v>42642</v>
      </c>
      <c r="G2347" s="5">
        <v>54789</v>
      </c>
      <c r="H2347" s="4" t="str">
        <f>""</f>
        <v/>
      </c>
      <c r="I2347" s="4" t="str">
        <f>""</f>
        <v/>
      </c>
    </row>
    <row r="2348" spans="1:9" x14ac:dyDescent="0.3">
      <c r="A2348" s="1" t="str">
        <f>"62"</f>
        <v>62</v>
      </c>
      <c r="B2348" s="4" t="str">
        <f>"RECYCLE AUTOS"</f>
        <v>RECYCLE AUTOS</v>
      </c>
      <c r="C2348" s="4">
        <v>378362156</v>
      </c>
      <c r="D2348" s="3" t="s">
        <v>0</v>
      </c>
      <c r="E2348" s="2" t="str">
        <f>"0007001716"</f>
        <v>0007001716</v>
      </c>
      <c r="F2348" s="5">
        <v>42642</v>
      </c>
      <c r="G2348" s="5">
        <v>54789</v>
      </c>
      <c r="H2348" s="4" t="str">
        <f>""</f>
        <v/>
      </c>
      <c r="I2348" s="4" t="str">
        <f>""</f>
        <v/>
      </c>
    </row>
    <row r="2349" spans="1:9" x14ac:dyDescent="0.3">
      <c r="A2349" s="1" t="str">
        <f>"62"</f>
        <v>62</v>
      </c>
      <c r="B2349" s="4" t="str">
        <f>"Ets STEPHAN Bernard"</f>
        <v>Ets STEPHAN Bernard</v>
      </c>
      <c r="C2349" s="4">
        <v>378768683</v>
      </c>
      <c r="D2349" s="3" t="s">
        <v>0</v>
      </c>
      <c r="E2349" s="2" t="str">
        <f>"PR6200050D"</f>
        <v>PR6200050D</v>
      </c>
      <c r="F2349" s="5">
        <v>42152</v>
      </c>
      <c r="G2349" s="5">
        <v>54789</v>
      </c>
      <c r="H2349" s="4" t="str">
        <f>""</f>
        <v/>
      </c>
      <c r="I2349" s="4" t="str">
        <f>""</f>
        <v/>
      </c>
    </row>
    <row r="2350" spans="1:9" x14ac:dyDescent="0.3">
      <c r="A2350" s="1" t="str">
        <f>"62"</f>
        <v>62</v>
      </c>
      <c r="B2350" s="4" t="str">
        <f>"Ets Roger COPPIN"</f>
        <v>Ets Roger COPPIN</v>
      </c>
      <c r="C2350" s="4">
        <v>381901113</v>
      </c>
      <c r="D2350" s="3" t="s">
        <v>0</v>
      </c>
      <c r="E2350" s="2" t="str">
        <f>"PR6200038D"</f>
        <v>PR6200038D</v>
      </c>
      <c r="F2350" s="5">
        <v>40249</v>
      </c>
      <c r="G2350" s="5">
        <v>54789</v>
      </c>
      <c r="H2350" s="4" t="str">
        <f>""</f>
        <v/>
      </c>
      <c r="I2350" s="4" t="str">
        <f>""</f>
        <v/>
      </c>
    </row>
    <row r="2351" spans="1:9" x14ac:dyDescent="0.3">
      <c r="A2351" s="1" t="str">
        <f>"62"</f>
        <v>62</v>
      </c>
      <c r="B2351" s="4" t="str">
        <f>"GALLOO FRANCE SAS Division Sallaumines"</f>
        <v>GALLOO FRANCE SAS Division Sallaumines</v>
      </c>
      <c r="C2351" s="4">
        <v>383066602</v>
      </c>
      <c r="D2351" s="3" t="s">
        <v>0</v>
      </c>
      <c r="E2351" s="2" t="str">
        <f>"PR62000026D"</f>
        <v>PR62000026D</v>
      </c>
      <c r="F2351" s="5">
        <v>43741</v>
      </c>
      <c r="G2351" s="5">
        <v>54789</v>
      </c>
      <c r="H2351" s="4" t="str">
        <f>""</f>
        <v/>
      </c>
      <c r="I2351" s="4" t="str">
        <f>""</f>
        <v/>
      </c>
    </row>
    <row r="2352" spans="1:9" x14ac:dyDescent="0.3">
      <c r="A2352" s="1" t="str">
        <f>"62"</f>
        <v>62</v>
      </c>
      <c r="B2352" s="4" t="str">
        <f>"GALLOO FRANCE SAS Division Sallaumines"</f>
        <v>GALLOO FRANCE SAS Division Sallaumines</v>
      </c>
      <c r="C2352" s="4">
        <v>383066602</v>
      </c>
      <c r="D2352" s="3" t="s">
        <v>0</v>
      </c>
      <c r="E2352" s="2" t="str">
        <f>"0028200050"</f>
        <v>0028200050</v>
      </c>
      <c r="F2352" s="5">
        <v>39353</v>
      </c>
      <c r="G2352" s="5">
        <v>54789</v>
      </c>
      <c r="H2352" s="4" t="str">
        <f>""</f>
        <v/>
      </c>
      <c r="I2352" s="4" t="str">
        <f>""</f>
        <v/>
      </c>
    </row>
    <row r="2353" spans="1:9" x14ac:dyDescent="0.3">
      <c r="A2353" s="1" t="str">
        <f>"62"</f>
        <v>62</v>
      </c>
      <c r="B2353" s="4" t="str">
        <f>"GALLOO FRANCE"</f>
        <v>GALLOO FRANCE</v>
      </c>
      <c r="C2353" s="4">
        <v>383066602</v>
      </c>
      <c r="D2353" s="3" t="s">
        <v>0</v>
      </c>
      <c r="E2353" s="2" t="str">
        <f>"PR6200061D"</f>
        <v>PR6200061D</v>
      </c>
      <c r="F2353" s="5">
        <v>45349</v>
      </c>
      <c r="G2353" s="5">
        <v>54789</v>
      </c>
      <c r="H2353" s="4" t="str">
        <f>""</f>
        <v/>
      </c>
      <c r="I2353" s="4" t="str">
        <f>""</f>
        <v/>
      </c>
    </row>
    <row r="2354" spans="1:9" x14ac:dyDescent="0.3">
      <c r="A2354" s="1" t="str">
        <f>"62"</f>
        <v>62</v>
      </c>
      <c r="B2354" s="4" t="str">
        <f>"GALLOO FRANCE"</f>
        <v>GALLOO FRANCE</v>
      </c>
      <c r="C2354" s="4">
        <v>383066602</v>
      </c>
      <c r="D2354" s="3" t="s">
        <v>0</v>
      </c>
      <c r="E2354" s="2" t="str">
        <f>"PR6200061B"</f>
        <v>PR6200061B</v>
      </c>
      <c r="F2354" s="5">
        <v>45349</v>
      </c>
      <c r="G2354" s="5">
        <v>54789</v>
      </c>
      <c r="H2354" s="4" t="str">
        <f>""</f>
        <v/>
      </c>
      <c r="I2354" s="4" t="str">
        <f>""</f>
        <v/>
      </c>
    </row>
    <row r="2355" spans="1:9" x14ac:dyDescent="0.3">
      <c r="A2355" s="1" t="str">
        <f>"62"</f>
        <v>62</v>
      </c>
      <c r="B2355" s="4" t="str">
        <f>"GALLOO FRANCE"</f>
        <v>GALLOO FRANCE</v>
      </c>
      <c r="C2355" s="4">
        <v>383066602</v>
      </c>
      <c r="D2355" s="3" t="s">
        <v>0</v>
      </c>
      <c r="E2355" s="2" t="str">
        <f>"0100007144"</f>
        <v>0100007144</v>
      </c>
      <c r="F2355" s="5">
        <v>45349</v>
      </c>
      <c r="G2355" s="5">
        <v>54789</v>
      </c>
      <c r="H2355" s="4" t="str">
        <f>""</f>
        <v/>
      </c>
      <c r="I2355" s="4" t="str">
        <f>""</f>
        <v/>
      </c>
    </row>
    <row r="2356" spans="1:9" x14ac:dyDescent="0.3">
      <c r="A2356" s="1" t="str">
        <f>"62"</f>
        <v>62</v>
      </c>
      <c r="B2356" s="4" t="str">
        <f>"GALLOO FRANCE"</f>
        <v>GALLOO FRANCE</v>
      </c>
      <c r="C2356" s="4">
        <v>395311103</v>
      </c>
      <c r="D2356" s="3" t="s">
        <v>0</v>
      </c>
      <c r="E2356" s="2" t="str">
        <f>"PR62000028D"</f>
        <v>PR62000028D</v>
      </c>
      <c r="F2356" s="5">
        <v>39540</v>
      </c>
      <c r="G2356" s="5">
        <v>54789</v>
      </c>
      <c r="H2356" s="4" t="str">
        <f>""</f>
        <v/>
      </c>
      <c r="I2356" s="4" t="str">
        <f>""</f>
        <v/>
      </c>
    </row>
    <row r="2357" spans="1:9" x14ac:dyDescent="0.3">
      <c r="A2357" s="1" t="str">
        <f>"62"</f>
        <v>62</v>
      </c>
      <c r="B2357" s="4" t="str">
        <f>"GALLOO FRANCE SA FIEFS"</f>
        <v>GALLOO FRANCE SA FIEFS</v>
      </c>
      <c r="C2357" s="4">
        <v>395311103</v>
      </c>
      <c r="D2357" s="3" t="s">
        <v>0</v>
      </c>
      <c r="E2357" s="2" t="str">
        <f>"0007001312"</f>
        <v>0007001312</v>
      </c>
      <c r="F2357" s="5">
        <v>39540</v>
      </c>
      <c r="G2357" s="5">
        <v>54789</v>
      </c>
      <c r="H2357" s="4" t="str">
        <f>""</f>
        <v/>
      </c>
      <c r="I2357" s="4" t="str">
        <f>""</f>
        <v/>
      </c>
    </row>
    <row r="2358" spans="1:9" x14ac:dyDescent="0.3">
      <c r="A2358" s="1" t="str">
        <f>"62"</f>
        <v>62</v>
      </c>
      <c r="B2358" s="4" t="str">
        <f>"STE ESPAS'AUTO"</f>
        <v>STE ESPAS'AUTO</v>
      </c>
      <c r="C2358" s="4">
        <v>398854307</v>
      </c>
      <c r="D2358" s="3" t="s">
        <v>0</v>
      </c>
      <c r="E2358" s="2" t="str">
        <f>"PR6200010D"</f>
        <v>PR6200010D</v>
      </c>
      <c r="F2358" s="5">
        <v>38953</v>
      </c>
      <c r="G2358" s="4" t="s">
        <v>1</v>
      </c>
      <c r="H2358" s="4" t="str">
        <f>""</f>
        <v/>
      </c>
      <c r="I2358" s="4" t="str">
        <f>""</f>
        <v/>
      </c>
    </row>
    <row r="2359" spans="1:9" x14ac:dyDescent="0.3">
      <c r="A2359" s="1" t="str">
        <f>"62"</f>
        <v>62</v>
      </c>
      <c r="B2359" s="4" t="str">
        <f>"STE MOLINS CREAUTO"</f>
        <v>STE MOLINS CREAUTO</v>
      </c>
      <c r="C2359" s="4">
        <v>400217626</v>
      </c>
      <c r="D2359" s="3" t="s">
        <v>0</v>
      </c>
      <c r="E2359" s="2" t="str">
        <f>"PR6200006D"</f>
        <v>PR6200006D</v>
      </c>
      <c r="F2359" s="5">
        <v>38868</v>
      </c>
      <c r="G2359" s="5">
        <v>54789</v>
      </c>
      <c r="H2359" s="4" t="str">
        <f>""</f>
        <v/>
      </c>
      <c r="I2359" s="4" t="str">
        <f>""</f>
        <v/>
      </c>
    </row>
    <row r="2360" spans="1:9" x14ac:dyDescent="0.3">
      <c r="A2360" s="1" t="str">
        <f>"62"</f>
        <v>62</v>
      </c>
      <c r="B2360" s="4" t="str">
        <f>"STE MOLINS CREAUTO"</f>
        <v>STE MOLINS CREAUTO</v>
      </c>
      <c r="C2360" s="4">
        <v>400217626</v>
      </c>
      <c r="D2360" s="3" t="s">
        <v>0</v>
      </c>
      <c r="E2360" s="2" t="str">
        <f>"0007001344"</f>
        <v>0007001344</v>
      </c>
      <c r="F2360" s="5">
        <v>38868</v>
      </c>
      <c r="G2360" s="5">
        <v>54789</v>
      </c>
      <c r="H2360" s="4" t="str">
        <f>""</f>
        <v/>
      </c>
      <c r="I2360" s="4" t="str">
        <f>""</f>
        <v/>
      </c>
    </row>
    <row r="2361" spans="1:9" x14ac:dyDescent="0.3">
      <c r="A2361" s="1" t="str">
        <f>"62"</f>
        <v>62</v>
      </c>
      <c r="B2361" s="4" t="str">
        <f>"VERCRUYSSE FRERES"</f>
        <v>VERCRUYSSE FRERES</v>
      </c>
      <c r="C2361" s="4">
        <v>404112526</v>
      </c>
      <c r="D2361" s="3" t="s">
        <v>0</v>
      </c>
      <c r="E2361" s="2" t="str">
        <f>"PR6200052D"</f>
        <v>PR6200052D</v>
      </c>
      <c r="F2361" s="5">
        <v>42516</v>
      </c>
      <c r="G2361" s="5">
        <v>54789</v>
      </c>
      <c r="H2361" s="4" t="str">
        <f>""</f>
        <v/>
      </c>
      <c r="I2361" s="4" t="str">
        <f>""</f>
        <v/>
      </c>
    </row>
    <row r="2362" spans="1:9" x14ac:dyDescent="0.3">
      <c r="A2362" s="1" t="str">
        <f>"62"</f>
        <v>62</v>
      </c>
      <c r="B2362" s="4" t="str">
        <f>"SARL Paul HARDY"</f>
        <v>SARL Paul HARDY</v>
      </c>
      <c r="C2362" s="4">
        <v>408055994</v>
      </c>
      <c r="D2362" s="3" t="s">
        <v>0</v>
      </c>
      <c r="E2362" s="2" t="str">
        <f>"PR62000022D"</f>
        <v>PR62000022D</v>
      </c>
      <c r="F2362" s="5">
        <v>39160</v>
      </c>
      <c r="G2362" s="5">
        <v>54789</v>
      </c>
      <c r="H2362" s="4" t="str">
        <f>""</f>
        <v/>
      </c>
      <c r="I2362" s="4" t="str">
        <f>""</f>
        <v/>
      </c>
    </row>
    <row r="2363" spans="1:9" x14ac:dyDescent="0.3">
      <c r="A2363" s="1" t="str">
        <f>"62"</f>
        <v>62</v>
      </c>
      <c r="B2363" s="4" t="str">
        <f>"SARL Paul HARDY"</f>
        <v>SARL Paul HARDY</v>
      </c>
      <c r="C2363" s="4">
        <v>408055994</v>
      </c>
      <c r="D2363" s="3" t="s">
        <v>0</v>
      </c>
      <c r="E2363" s="2" t="str">
        <f>"0007001818"</f>
        <v>0007001818</v>
      </c>
      <c r="F2363" s="5">
        <v>39160</v>
      </c>
      <c r="G2363" s="5">
        <v>54789</v>
      </c>
      <c r="H2363" s="4" t="str">
        <f>""</f>
        <v/>
      </c>
      <c r="I2363" s="4" t="str">
        <f>""</f>
        <v/>
      </c>
    </row>
    <row r="2364" spans="1:9" x14ac:dyDescent="0.3">
      <c r="A2364" s="1" t="str">
        <f>"62"</f>
        <v>62</v>
      </c>
      <c r="B2364" s="4" t="str">
        <f>"Société BAUDELET HOLDING"</f>
        <v>Société BAUDELET HOLDING</v>
      </c>
      <c r="C2364" s="4">
        <v>410275424</v>
      </c>
      <c r="D2364" s="3" t="s">
        <v>0</v>
      </c>
      <c r="E2364" s="2" t="str">
        <f>"PR6200012D"</f>
        <v>PR6200012D</v>
      </c>
      <c r="F2364" s="5">
        <v>39002</v>
      </c>
      <c r="G2364" s="5">
        <v>54789</v>
      </c>
      <c r="H2364" s="4" t="str">
        <f>""</f>
        <v/>
      </c>
      <c r="I2364" s="4" t="str">
        <f>""</f>
        <v/>
      </c>
    </row>
    <row r="2365" spans="1:9" x14ac:dyDescent="0.3">
      <c r="A2365" s="1" t="str">
        <f>"62"</f>
        <v>62</v>
      </c>
      <c r="B2365" s="4" t="str">
        <f>"Société BAUDELET HOLDING"</f>
        <v>Société BAUDELET HOLDING</v>
      </c>
      <c r="C2365" s="4">
        <v>410275424</v>
      </c>
      <c r="D2365" s="3" t="s">
        <v>0</v>
      </c>
      <c r="E2365" s="2" t="str">
        <f>"0007002038"</f>
        <v>0007002038</v>
      </c>
      <c r="F2365" s="5">
        <v>39002</v>
      </c>
      <c r="G2365" s="5">
        <v>54789</v>
      </c>
      <c r="H2365" s="4" t="str">
        <f>""</f>
        <v/>
      </c>
      <c r="I2365" s="4" t="str">
        <f>""</f>
        <v/>
      </c>
    </row>
    <row r="2366" spans="1:9" x14ac:dyDescent="0.3">
      <c r="A2366" s="1" t="str">
        <f>"62"</f>
        <v>62</v>
      </c>
      <c r="B2366" s="4" t="str">
        <f>"SA BAUDELET HOLDING"</f>
        <v>SA BAUDELET HOLDING</v>
      </c>
      <c r="C2366" s="4">
        <v>410275424</v>
      </c>
      <c r="D2366" s="3" t="s">
        <v>0</v>
      </c>
      <c r="E2366" s="2" t="str">
        <f>"PR6200062D"</f>
        <v>PR6200062D</v>
      </c>
      <c r="F2366" s="5">
        <v>45702</v>
      </c>
      <c r="G2366" s="5">
        <v>54789</v>
      </c>
      <c r="H2366" s="4" t="str">
        <f>""</f>
        <v/>
      </c>
      <c r="I2366" s="4" t="str">
        <f>""</f>
        <v/>
      </c>
    </row>
    <row r="2367" spans="1:9" x14ac:dyDescent="0.3">
      <c r="A2367" s="1" t="str">
        <f>"62"</f>
        <v>62</v>
      </c>
      <c r="B2367" s="4" t="str">
        <f>"SA BAUDELET HOLDING"</f>
        <v>SA BAUDELET HOLDING</v>
      </c>
      <c r="C2367" s="4">
        <v>410275424</v>
      </c>
      <c r="D2367" s="3" t="s">
        <v>0</v>
      </c>
      <c r="E2367" s="2" t="str">
        <f>"0007002150"</f>
        <v>0007002150</v>
      </c>
      <c r="F2367" s="5">
        <v>45702</v>
      </c>
      <c r="G2367" s="5">
        <v>54789</v>
      </c>
      <c r="H2367" s="4" t="str">
        <f>""</f>
        <v/>
      </c>
      <c r="I2367" s="4" t="str">
        <f>""</f>
        <v/>
      </c>
    </row>
    <row r="2368" spans="1:9" x14ac:dyDescent="0.3">
      <c r="A2368" s="1" t="str">
        <f>"62"</f>
        <v>62</v>
      </c>
      <c r="B2368" s="4" t="str">
        <f>"STE NEGOCE AUTO"</f>
        <v>STE NEGOCE AUTO</v>
      </c>
      <c r="C2368" s="4">
        <v>413443508</v>
      </c>
      <c r="D2368" s="3" t="s">
        <v>0</v>
      </c>
      <c r="E2368" s="2" t="str">
        <f>"PR6200002D"</f>
        <v>PR6200002D</v>
      </c>
      <c r="F2368" s="5">
        <v>38854</v>
      </c>
      <c r="G2368" s="5">
        <v>54789</v>
      </c>
      <c r="H2368" s="4" t="str">
        <f>""</f>
        <v/>
      </c>
      <c r="I2368" s="4" t="str">
        <f>""</f>
        <v/>
      </c>
    </row>
    <row r="2369" spans="1:9" x14ac:dyDescent="0.3">
      <c r="A2369" s="1" t="str">
        <f>"62"</f>
        <v>62</v>
      </c>
      <c r="B2369" s="4" t="str">
        <f>"STE NEGOCE AUTO"</f>
        <v>STE NEGOCE AUTO</v>
      </c>
      <c r="C2369" s="4">
        <v>413443508</v>
      </c>
      <c r="D2369" s="3" t="s">
        <v>0</v>
      </c>
      <c r="E2369" s="2" t="str">
        <f>"0007002018"</f>
        <v>0007002018</v>
      </c>
      <c r="F2369" s="5">
        <v>38855</v>
      </c>
      <c r="G2369" s="5">
        <v>54789</v>
      </c>
      <c r="H2369" s="4" t="str">
        <f>""</f>
        <v/>
      </c>
      <c r="I2369" s="4" t="str">
        <f>""</f>
        <v/>
      </c>
    </row>
    <row r="2370" spans="1:9" x14ac:dyDescent="0.3">
      <c r="A2370" s="1" t="str">
        <f>"62"</f>
        <v>62</v>
      </c>
      <c r="B2370" s="4" t="str">
        <f>"DAINVILLE RECYCLAGE"</f>
        <v>DAINVILLE RECYCLAGE</v>
      </c>
      <c r="C2370" s="4">
        <v>420596470</v>
      </c>
      <c r="D2370" s="3" t="s">
        <v>0</v>
      </c>
      <c r="E2370" s="2" t="str">
        <f>"PR6200048D"</f>
        <v>PR6200048D</v>
      </c>
      <c r="F2370" s="5">
        <v>41822</v>
      </c>
      <c r="G2370" s="5">
        <v>54789</v>
      </c>
      <c r="H2370" s="4" t="str">
        <f>""</f>
        <v/>
      </c>
      <c r="I2370" s="4" t="str">
        <f>""</f>
        <v/>
      </c>
    </row>
    <row r="2371" spans="1:9" x14ac:dyDescent="0.3">
      <c r="A2371" s="1" t="str">
        <f>"62"</f>
        <v>62</v>
      </c>
      <c r="B2371" s="4" t="str">
        <f>"DAINVILLE RECYCLAGE"</f>
        <v>DAINVILLE RECYCLAGE</v>
      </c>
      <c r="C2371" s="4">
        <v>420596470</v>
      </c>
      <c r="D2371" s="3" t="s">
        <v>0</v>
      </c>
      <c r="E2371" s="2" t="str">
        <f>"PR6200051D"</f>
        <v>PR6200051D</v>
      </c>
      <c r="F2371" s="5">
        <v>42145</v>
      </c>
      <c r="G2371" s="5">
        <v>54789</v>
      </c>
      <c r="H2371" s="4" t="str">
        <f>""</f>
        <v/>
      </c>
      <c r="I2371" s="4" t="str">
        <f>""</f>
        <v/>
      </c>
    </row>
    <row r="2372" spans="1:9" x14ac:dyDescent="0.3">
      <c r="A2372" s="1" t="str">
        <f>"62"</f>
        <v>62</v>
      </c>
      <c r="B2372" s="4" t="str">
        <f>"DAINVILLE RECYCLAGE"</f>
        <v>DAINVILLE RECYCLAGE</v>
      </c>
      <c r="C2372" s="4">
        <v>420596470</v>
      </c>
      <c r="D2372" s="3" t="s">
        <v>0</v>
      </c>
      <c r="E2372" s="2" t="str">
        <f>"0007006110"</f>
        <v>0007006110</v>
      </c>
      <c r="F2372" s="5">
        <v>42145</v>
      </c>
      <c r="G2372" s="5">
        <v>54789</v>
      </c>
      <c r="H2372" s="4" t="str">
        <f>""</f>
        <v/>
      </c>
      <c r="I2372" s="4" t="str">
        <f>""</f>
        <v/>
      </c>
    </row>
    <row r="2373" spans="1:9" x14ac:dyDescent="0.3">
      <c r="A2373" s="1" t="str">
        <f>"62"</f>
        <v>62</v>
      </c>
      <c r="B2373" s="4" t="str">
        <f>"SARL RECUPERATION DU VAL DE CANCHE ET D'AUTHIE"</f>
        <v>SARL RECUPERATION DU VAL DE CANCHE ET D'AUTHIE</v>
      </c>
      <c r="C2373" s="4">
        <v>422144303</v>
      </c>
      <c r="D2373" s="3" t="s">
        <v>0</v>
      </c>
      <c r="E2373" s="2" t="str">
        <f>"PR62000036D"</f>
        <v>PR62000036D</v>
      </c>
      <c r="F2373" s="5">
        <v>40094</v>
      </c>
      <c r="G2373" s="5">
        <v>54789</v>
      </c>
      <c r="H2373" s="4" t="str">
        <f>""</f>
        <v/>
      </c>
      <c r="I2373" s="4" t="str">
        <f>""</f>
        <v/>
      </c>
    </row>
    <row r="2374" spans="1:9" x14ac:dyDescent="0.3">
      <c r="A2374" s="1" t="str">
        <f>"62"</f>
        <v>62</v>
      </c>
      <c r="B2374" s="4" t="str">
        <f>"SARL RECUPERATION DU VAL DE CANCHE ET D'AUTHIE"</f>
        <v>SARL RECUPERATION DU VAL DE CANCHE ET D'AUTHIE</v>
      </c>
      <c r="C2374" s="4">
        <v>422144303</v>
      </c>
      <c r="D2374" s="3" t="s">
        <v>0</v>
      </c>
      <c r="E2374" s="2" t="str">
        <f>"7001894"</f>
        <v>7001894</v>
      </c>
      <c r="F2374" s="5">
        <v>40094</v>
      </c>
      <c r="G2374" s="5">
        <v>54789</v>
      </c>
      <c r="H2374" s="4" t="str">
        <f>""</f>
        <v/>
      </c>
      <c r="I2374" s="4" t="str">
        <f>""</f>
        <v/>
      </c>
    </row>
    <row r="2375" spans="1:9" x14ac:dyDescent="0.3">
      <c r="A2375" s="1" t="str">
        <f>"62"</f>
        <v>62</v>
      </c>
      <c r="B2375" s="4" t="str">
        <f>"Société SEOS"</f>
        <v>Société SEOS</v>
      </c>
      <c r="C2375" s="4">
        <v>423621986</v>
      </c>
      <c r="D2375" s="3" t="s">
        <v>0</v>
      </c>
      <c r="E2375" s="2" t="str">
        <f>"PR6200057D"</f>
        <v>PR6200057D</v>
      </c>
      <c r="F2375" s="5">
        <v>44382</v>
      </c>
      <c r="G2375" s="5">
        <v>54789</v>
      </c>
      <c r="H2375" s="4" t="str">
        <f>""</f>
        <v/>
      </c>
      <c r="I2375" s="4" t="str">
        <f>""</f>
        <v/>
      </c>
    </row>
    <row r="2376" spans="1:9" x14ac:dyDescent="0.3">
      <c r="A2376" s="1" t="str">
        <f>"62"</f>
        <v>62</v>
      </c>
      <c r="B2376" s="4" t="str">
        <f>"AMLG (ARTOIS METAUX LOOS EN GOHELLE)"</f>
        <v>AMLG (ARTOIS METAUX LOOS EN GOHELLE)</v>
      </c>
      <c r="C2376" s="4">
        <v>423621986</v>
      </c>
      <c r="D2376" s="3" t="s">
        <v>0</v>
      </c>
      <c r="E2376" s="2" t="str">
        <f>"0007005675"</f>
        <v>0007005675</v>
      </c>
      <c r="F2376" s="5">
        <v>45869</v>
      </c>
      <c r="G2376" s="5">
        <v>54789</v>
      </c>
      <c r="H2376" s="4" t="str">
        <f>""</f>
        <v/>
      </c>
      <c r="I2376" s="4" t="str">
        <f>""</f>
        <v/>
      </c>
    </row>
    <row r="2377" spans="1:9" x14ac:dyDescent="0.3">
      <c r="A2377" s="1" t="str">
        <f>"62"</f>
        <v>62</v>
      </c>
      <c r="B2377" s="4" t="str">
        <f>"GALLOO CALAIS Sas (ex SARL NICOLAY Fils)"</f>
        <v>GALLOO CALAIS Sas (ex SARL NICOLAY Fils)</v>
      </c>
      <c r="C2377" s="4">
        <v>424790624</v>
      </c>
      <c r="D2377" s="3" t="s">
        <v>0</v>
      </c>
      <c r="E2377" s="2" t="str">
        <f>"PR6200046D"</f>
        <v>PR6200046D</v>
      </c>
      <c r="F2377" s="5">
        <v>41233</v>
      </c>
      <c r="G2377" s="5">
        <v>54789</v>
      </c>
      <c r="H2377" s="4" t="str">
        <f>""</f>
        <v/>
      </c>
      <c r="I2377" s="4" t="str">
        <f>""</f>
        <v/>
      </c>
    </row>
    <row r="2378" spans="1:9" x14ac:dyDescent="0.3">
      <c r="A2378" s="1" t="str">
        <f>"62"</f>
        <v>62</v>
      </c>
      <c r="B2378" s="4" t="str">
        <f>"GALLOO CALAIS Sas"</f>
        <v>GALLOO CALAIS Sas</v>
      </c>
      <c r="C2378" s="4">
        <v>424790624</v>
      </c>
      <c r="D2378" s="3" t="s">
        <v>0</v>
      </c>
      <c r="E2378" s="2" t="str">
        <f>"7003179"</f>
        <v>7003179</v>
      </c>
      <c r="F2378" s="5">
        <v>41233</v>
      </c>
      <c r="G2378" s="5">
        <v>54789</v>
      </c>
      <c r="H2378" s="4" t="str">
        <f>""</f>
        <v/>
      </c>
      <c r="I2378" s="4" t="str">
        <f>""</f>
        <v/>
      </c>
    </row>
    <row r="2379" spans="1:9" x14ac:dyDescent="0.3">
      <c r="A2379" s="1" t="str">
        <f>"62"</f>
        <v>62</v>
      </c>
      <c r="B2379" s="4" t="str">
        <f>"SARL AUTO-SYSTEME"</f>
        <v>SARL AUTO-SYSTEME</v>
      </c>
      <c r="C2379" s="4">
        <v>434175030</v>
      </c>
      <c r="D2379" s="3" t="s">
        <v>0</v>
      </c>
      <c r="E2379" s="2" t="str">
        <f>"PR62000018D"</f>
        <v>PR62000018D</v>
      </c>
      <c r="F2379" s="5">
        <v>39072</v>
      </c>
      <c r="G2379" s="5">
        <v>54789</v>
      </c>
      <c r="H2379" s="4" t="str">
        <f>""</f>
        <v/>
      </c>
      <c r="I2379" s="4" t="str">
        <f>""</f>
        <v/>
      </c>
    </row>
    <row r="2380" spans="1:9" x14ac:dyDescent="0.3">
      <c r="A2380" s="1" t="str">
        <f>"62"</f>
        <v>62</v>
      </c>
      <c r="B2380" s="4" t="str">
        <f>"SARL AUTO-SYSTEME"</f>
        <v>SARL AUTO-SYSTEME</v>
      </c>
      <c r="C2380" s="4">
        <v>434175030</v>
      </c>
      <c r="D2380" s="3" t="s">
        <v>0</v>
      </c>
      <c r="E2380" s="2" t="str">
        <f>"0007001331"</f>
        <v>0007001331</v>
      </c>
      <c r="F2380" s="5">
        <v>39072</v>
      </c>
      <c r="G2380" s="5">
        <v>54789</v>
      </c>
      <c r="H2380" s="4" t="str">
        <f>""</f>
        <v/>
      </c>
      <c r="I2380" s="4" t="str">
        <f>""</f>
        <v/>
      </c>
    </row>
    <row r="2381" spans="1:9" x14ac:dyDescent="0.3">
      <c r="A2381" s="1" t="str">
        <f>"62"</f>
        <v>62</v>
      </c>
      <c r="B2381" s="4" t="str">
        <f>"S.A. STRAP (GALLOO LITTORAL)"</f>
        <v>S.A. STRAP (GALLOO LITTORAL)</v>
      </c>
      <c r="C2381" s="4">
        <v>442377206</v>
      </c>
      <c r="D2381" s="3" t="s">
        <v>0</v>
      </c>
      <c r="E2381" s="2" t="str">
        <f>"0028300078"</f>
        <v>0028300078</v>
      </c>
      <c r="F2381" s="5">
        <v>39016</v>
      </c>
      <c r="G2381" s="5">
        <v>54789</v>
      </c>
      <c r="H2381" s="4" t="str">
        <f>""</f>
        <v/>
      </c>
      <c r="I2381" s="4" t="str">
        <f>""</f>
        <v/>
      </c>
    </row>
    <row r="2382" spans="1:9" x14ac:dyDescent="0.3">
      <c r="A2382" s="1" t="str">
        <f>"62"</f>
        <v>62</v>
      </c>
      <c r="B2382" s="4" t="str">
        <f>"GALLOO LITTORAL"</f>
        <v>GALLOO LITTORAL</v>
      </c>
      <c r="C2382" s="4">
        <v>442377206</v>
      </c>
      <c r="D2382" s="3" t="s">
        <v>0</v>
      </c>
      <c r="E2382" s="2" t="str">
        <f>"PR6200047D"</f>
        <v>PR6200047D</v>
      </c>
      <c r="F2382" s="5">
        <v>41785</v>
      </c>
      <c r="G2382" s="5">
        <v>54789</v>
      </c>
      <c r="H2382" s="4" t="str">
        <f>""</f>
        <v/>
      </c>
      <c r="I2382" s="4" t="str">
        <f>""</f>
        <v/>
      </c>
    </row>
    <row r="2383" spans="1:9" x14ac:dyDescent="0.3">
      <c r="A2383" s="1" t="str">
        <f>"62"</f>
        <v>62</v>
      </c>
      <c r="B2383" s="4" t="str">
        <f>"Société POULET"</f>
        <v>Société POULET</v>
      </c>
      <c r="C2383" s="4">
        <v>443329321</v>
      </c>
      <c r="D2383" s="3" t="s">
        <v>0</v>
      </c>
      <c r="E2383" s="2" t="str">
        <f>"PR62000031D"</f>
        <v>PR62000031D</v>
      </c>
      <c r="F2383" s="5">
        <v>39738</v>
      </c>
      <c r="G2383" s="5">
        <v>54789</v>
      </c>
      <c r="H2383" s="4" t="str">
        <f>""</f>
        <v/>
      </c>
      <c r="I2383" s="4" t="str">
        <f>""</f>
        <v/>
      </c>
    </row>
    <row r="2384" spans="1:9" x14ac:dyDescent="0.3">
      <c r="A2384" s="1" t="str">
        <f>"62"</f>
        <v>62</v>
      </c>
      <c r="B2384" s="4" t="str">
        <f>"LD AUTO STORE"</f>
        <v>LD AUTO STORE</v>
      </c>
      <c r="C2384" s="4">
        <v>444395982</v>
      </c>
      <c r="D2384" s="3" t="s">
        <v>0</v>
      </c>
      <c r="E2384" s="2" t="str">
        <f>"0003800696"</f>
        <v>0003800696</v>
      </c>
      <c r="F2384" s="5">
        <v>42871</v>
      </c>
      <c r="G2384" s="5">
        <v>54789</v>
      </c>
      <c r="H2384" s="4" t="str">
        <f>""</f>
        <v/>
      </c>
      <c r="I2384" s="4" t="str">
        <f>""</f>
        <v/>
      </c>
    </row>
    <row r="2385" spans="1:9" x14ac:dyDescent="0.3">
      <c r="A2385" s="1" t="str">
        <f>"62"</f>
        <v>62</v>
      </c>
      <c r="B2385" s="4" t="str">
        <f>"MARIE ROSE PIECES DETACHEES"</f>
        <v>MARIE ROSE PIECES DETACHEES</v>
      </c>
      <c r="C2385" s="4">
        <v>444395982</v>
      </c>
      <c r="D2385" s="3" t="s">
        <v>0</v>
      </c>
      <c r="E2385" s="2" t="str">
        <f>"PR6200056D"</f>
        <v>PR6200056D</v>
      </c>
      <c r="F2385" s="5">
        <v>43154</v>
      </c>
      <c r="G2385" s="5">
        <v>54789</v>
      </c>
      <c r="H2385" s="4" t="str">
        <f>""</f>
        <v/>
      </c>
      <c r="I2385" s="4" t="str">
        <f>""</f>
        <v/>
      </c>
    </row>
    <row r="2386" spans="1:9" x14ac:dyDescent="0.3">
      <c r="A2386" s="1" t="str">
        <f>"62"</f>
        <v>62</v>
      </c>
      <c r="B2386" s="4" t="str">
        <f>"MARIE ROSE PIECES DETACHEES"</f>
        <v>MARIE ROSE PIECES DETACHEES</v>
      </c>
      <c r="C2386" s="4">
        <v>444395982</v>
      </c>
      <c r="D2386" s="3" t="s">
        <v>0</v>
      </c>
      <c r="E2386" s="2" t="str">
        <f>"0007002010"</f>
        <v>0007002010</v>
      </c>
      <c r="F2386" s="5">
        <v>43154</v>
      </c>
      <c r="G2386" s="5">
        <v>54789</v>
      </c>
      <c r="H2386" s="4" t="str">
        <f>""</f>
        <v/>
      </c>
      <c r="I2386" s="4" t="str">
        <f>""</f>
        <v/>
      </c>
    </row>
    <row r="2387" spans="1:9" x14ac:dyDescent="0.3">
      <c r="A2387" s="1" t="str">
        <f>"62"</f>
        <v>62</v>
      </c>
      <c r="B2387" s="4" t="str">
        <f>"GRAVINA"</f>
        <v>GRAVINA</v>
      </c>
      <c r="C2387" s="4">
        <v>452553464</v>
      </c>
      <c r="D2387" s="3" t="s">
        <v>0</v>
      </c>
      <c r="E2387" s="2" t="str">
        <f>"PR6200049D"</f>
        <v>PR6200049D</v>
      </c>
      <c r="F2387" s="5">
        <v>42152</v>
      </c>
      <c r="G2387" s="5">
        <v>54789</v>
      </c>
      <c r="H2387" s="4" t="str">
        <f>""</f>
        <v/>
      </c>
      <c r="I2387" s="4" t="str">
        <f>""</f>
        <v/>
      </c>
    </row>
    <row r="2388" spans="1:9" x14ac:dyDescent="0.3">
      <c r="A2388" s="1" t="str">
        <f>"62"</f>
        <v>62</v>
      </c>
      <c r="B2388" s="4" t="str">
        <f>"GRAVINA"</f>
        <v>GRAVINA</v>
      </c>
      <c r="C2388" s="4">
        <v>452553464</v>
      </c>
      <c r="D2388" s="3" t="s">
        <v>0</v>
      </c>
      <c r="E2388" s="2" t="str">
        <f>"0007001733"</f>
        <v>0007001733</v>
      </c>
      <c r="F2388" s="5">
        <v>42152</v>
      </c>
      <c r="G2388" s="5">
        <v>54789</v>
      </c>
      <c r="H2388" s="4" t="str">
        <f>""</f>
        <v/>
      </c>
      <c r="I2388" s="4" t="str">
        <f>""</f>
        <v/>
      </c>
    </row>
    <row r="2389" spans="1:9" x14ac:dyDescent="0.3">
      <c r="A2389" s="1" t="str">
        <f>"62"</f>
        <v>62</v>
      </c>
      <c r="B2389" s="4" t="str">
        <f>"Société CASSAUTO COYECQUES"</f>
        <v>Société CASSAUTO COYECQUES</v>
      </c>
      <c r="C2389" s="4">
        <v>479319212</v>
      </c>
      <c r="D2389" s="3" t="s">
        <v>0</v>
      </c>
      <c r="E2389" s="2" t="str">
        <f>"PR62000040D"</f>
        <v>PR62000040D</v>
      </c>
      <c r="F2389" s="5">
        <v>40669</v>
      </c>
      <c r="G2389" s="5">
        <v>54789</v>
      </c>
      <c r="H2389" s="4" t="str">
        <f>""</f>
        <v/>
      </c>
      <c r="I2389" s="4" t="str">
        <f>""</f>
        <v/>
      </c>
    </row>
    <row r="2390" spans="1:9" x14ac:dyDescent="0.3">
      <c r="A2390" s="1" t="str">
        <f>"62"</f>
        <v>62</v>
      </c>
      <c r="B2390" s="4" t="str">
        <f>"Société CASSAUTO COYECQUES"</f>
        <v>Société CASSAUTO COYECQUES</v>
      </c>
      <c r="C2390" s="4">
        <v>479319212</v>
      </c>
      <c r="D2390" s="3" t="s">
        <v>0</v>
      </c>
      <c r="E2390" s="2" t="str">
        <f>"7001658"</f>
        <v>7001658</v>
      </c>
      <c r="F2390" s="5">
        <v>40669</v>
      </c>
      <c r="G2390" s="5">
        <v>54789</v>
      </c>
      <c r="H2390" s="4" t="str">
        <f>""</f>
        <v/>
      </c>
      <c r="I2390" s="4" t="str">
        <f>""</f>
        <v/>
      </c>
    </row>
    <row r="2391" spans="1:9" x14ac:dyDescent="0.3">
      <c r="A2391" s="1" t="str">
        <f>"62"</f>
        <v>62</v>
      </c>
      <c r="B2391" s="4" t="str">
        <f>"SOCIETE LB PIECES AUTOS"</f>
        <v>SOCIETE LB PIECES AUTOS</v>
      </c>
      <c r="C2391" s="4">
        <v>480400761</v>
      </c>
      <c r="D2391" s="3" t="s">
        <v>0</v>
      </c>
      <c r="E2391" s="2" t="str">
        <f>"PR62000034D"</f>
        <v>PR62000034D</v>
      </c>
      <c r="F2391" s="5">
        <v>39909</v>
      </c>
      <c r="G2391" s="5">
        <v>54789</v>
      </c>
      <c r="H2391" s="4" t="str">
        <f>""</f>
        <v/>
      </c>
      <c r="I2391" s="4" t="str">
        <f>""</f>
        <v/>
      </c>
    </row>
    <row r="2392" spans="1:9" x14ac:dyDescent="0.3">
      <c r="A2392" s="1" t="str">
        <f>"62"</f>
        <v>62</v>
      </c>
      <c r="B2392" s="4" t="str">
        <f>"Société COENMANS RECYCLAGE INDUSTRIEL"</f>
        <v>Société COENMANS RECYCLAGE INDUSTRIEL</v>
      </c>
      <c r="C2392" s="4">
        <v>510109903</v>
      </c>
      <c r="D2392" s="3" t="s">
        <v>0</v>
      </c>
      <c r="E2392" s="2" t="str">
        <f>"PR62000039D"</f>
        <v>PR62000039D</v>
      </c>
      <c r="F2392" s="5">
        <v>42647</v>
      </c>
      <c r="G2392" s="5">
        <v>54789</v>
      </c>
      <c r="H2392" s="4" t="str">
        <f>""</f>
        <v/>
      </c>
      <c r="I2392" s="4" t="str">
        <f>""</f>
        <v/>
      </c>
    </row>
    <row r="2393" spans="1:9" x14ac:dyDescent="0.3">
      <c r="A2393" s="1" t="str">
        <f>"62"</f>
        <v>62</v>
      </c>
      <c r="B2393" s="4" t="str">
        <f>"Société COENMANS RECYCLAGE INDUSTRIEL"</f>
        <v>Société COENMANS RECYCLAGE INDUSTRIEL</v>
      </c>
      <c r="C2393" s="4">
        <v>510109903</v>
      </c>
      <c r="D2393" s="3" t="s">
        <v>0</v>
      </c>
      <c r="E2393" s="2" t="str">
        <f>"0007001493"</f>
        <v>0007001493</v>
      </c>
      <c r="F2393" s="5">
        <v>42647</v>
      </c>
      <c r="G2393" s="5">
        <v>54789</v>
      </c>
      <c r="H2393" s="4" t="str">
        <f>""</f>
        <v/>
      </c>
      <c r="I2393" s="4" t="str">
        <f>""</f>
        <v/>
      </c>
    </row>
    <row r="2394" spans="1:9" x14ac:dyDescent="0.3">
      <c r="A2394" s="1" t="str">
        <f>"62"</f>
        <v>62</v>
      </c>
      <c r="B2394" s="4" t="str">
        <f>"RECYTEK"</f>
        <v>RECYTEK</v>
      </c>
      <c r="C2394" s="4">
        <v>534113758</v>
      </c>
      <c r="D2394" s="3" t="s">
        <v>0</v>
      </c>
      <c r="E2394" s="2" t="str">
        <f>"PR6200058D"</f>
        <v>PR6200058D</v>
      </c>
      <c r="F2394" s="5">
        <v>44858</v>
      </c>
      <c r="G2394" s="5">
        <v>54789</v>
      </c>
      <c r="H2394" s="4" t="str">
        <f>""</f>
        <v/>
      </c>
      <c r="I2394" s="4" t="str">
        <f>""</f>
        <v/>
      </c>
    </row>
    <row r="2395" spans="1:9" x14ac:dyDescent="0.3">
      <c r="A2395" s="1" t="str">
        <f>"62"</f>
        <v>62</v>
      </c>
      <c r="B2395" s="4" t="str">
        <f>"RECYTEK"</f>
        <v>RECYTEK</v>
      </c>
      <c r="C2395" s="4">
        <v>534113758</v>
      </c>
      <c r="D2395" s="3" t="s">
        <v>0</v>
      </c>
      <c r="E2395" s="2" t="str">
        <f>"0003802699"</f>
        <v>0003802699</v>
      </c>
      <c r="F2395" s="5">
        <v>44858</v>
      </c>
      <c r="G2395" s="5">
        <v>54789</v>
      </c>
      <c r="H2395" s="4" t="str">
        <f>""</f>
        <v/>
      </c>
      <c r="I2395" s="4" t="str">
        <f>""</f>
        <v/>
      </c>
    </row>
    <row r="2396" spans="1:9" x14ac:dyDescent="0.3">
      <c r="A2396" s="1" t="str">
        <f>"62"</f>
        <v>62</v>
      </c>
      <c r="B2396" s="4" t="str">
        <f>"Société REVIVAL"</f>
        <v>Société REVIVAL</v>
      </c>
      <c r="C2396" s="4">
        <v>616620092</v>
      </c>
      <c r="D2396" s="3" t="s">
        <v>0</v>
      </c>
      <c r="E2396" s="2" t="str">
        <f>"PR62000041D"</f>
        <v>PR62000041D</v>
      </c>
      <c r="F2396" s="5">
        <v>41933</v>
      </c>
      <c r="G2396" s="5">
        <v>54789</v>
      </c>
      <c r="H2396" s="4" t="str">
        <f>""</f>
        <v/>
      </c>
      <c r="I2396" s="4" t="str">
        <f>""</f>
        <v/>
      </c>
    </row>
    <row r="2397" spans="1:9" x14ac:dyDescent="0.3">
      <c r="A2397" s="1" t="str">
        <f>"62"</f>
        <v>62</v>
      </c>
      <c r="B2397" s="4" t="str">
        <f>"Société REVIVAL"</f>
        <v>Société REVIVAL</v>
      </c>
      <c r="C2397" s="4">
        <v>616620092</v>
      </c>
      <c r="D2397" s="3" t="s">
        <v>0</v>
      </c>
      <c r="E2397" s="2" t="str">
        <f>"7006072"</f>
        <v>7006072</v>
      </c>
      <c r="F2397" s="5">
        <v>41933</v>
      </c>
      <c r="G2397" s="5">
        <v>54789</v>
      </c>
      <c r="H2397" s="4" t="str">
        <f>""</f>
        <v/>
      </c>
      <c r="I2397" s="4" t="str">
        <f>""</f>
        <v/>
      </c>
    </row>
    <row r="2398" spans="1:9" x14ac:dyDescent="0.3">
      <c r="A2398" s="1" t="str">
        <f>"62"</f>
        <v>62</v>
      </c>
      <c r="B2398" s="4" t="str">
        <f>"REVIVAL"</f>
        <v>REVIVAL</v>
      </c>
      <c r="C2398" s="4">
        <v>616620092</v>
      </c>
      <c r="D2398" s="3" t="s">
        <v>0</v>
      </c>
      <c r="E2398" s="2" t="str">
        <f>"PR6200053D"</f>
        <v>PR6200053D</v>
      </c>
      <c r="F2398" s="5">
        <v>39016</v>
      </c>
      <c r="G2398" s="5">
        <v>54789</v>
      </c>
      <c r="H2398" s="4" t="str">
        <f>""</f>
        <v/>
      </c>
      <c r="I2398" s="4" t="str">
        <f>""</f>
        <v/>
      </c>
    </row>
    <row r="2399" spans="1:9" x14ac:dyDescent="0.3">
      <c r="A2399" s="1" t="str">
        <f>"62"</f>
        <v>62</v>
      </c>
      <c r="B2399" s="4" t="str">
        <f>"CORNET ROSE MARIE /SARL CASSE AUTO CORNET"</f>
        <v>CORNET ROSE MARIE /SARL CASSE AUTO CORNET</v>
      </c>
      <c r="C2399" s="4">
        <v>731912549</v>
      </c>
      <c r="D2399" s="3" t="s">
        <v>0</v>
      </c>
      <c r="E2399" s="2" t="str">
        <f>"PR62000021D"</f>
        <v>PR62000021D</v>
      </c>
      <c r="F2399" s="5">
        <v>39112</v>
      </c>
      <c r="G2399" s="5">
        <v>54789</v>
      </c>
      <c r="H2399" s="4" t="str">
        <f>""</f>
        <v/>
      </c>
      <c r="I2399" s="4" t="str">
        <f>""</f>
        <v/>
      </c>
    </row>
    <row r="2400" spans="1:9" x14ac:dyDescent="0.3">
      <c r="A2400" s="1" t="str">
        <f>"62"</f>
        <v>62</v>
      </c>
      <c r="B2400" s="4" t="str">
        <f>"CORNET ROSE MARIE / Anciennement SARL CASSE AUTO CORNET"</f>
        <v>CORNET ROSE MARIE / Anciennement SARL CASSE AUTO CORNET</v>
      </c>
      <c r="C2400" s="4">
        <v>731912549</v>
      </c>
      <c r="D2400" s="3" t="s">
        <v>0</v>
      </c>
      <c r="E2400" s="2" t="str">
        <f>"0007002116"</f>
        <v>0007002116</v>
      </c>
      <c r="F2400" s="5">
        <v>39112</v>
      </c>
      <c r="G2400" s="5">
        <v>54789</v>
      </c>
      <c r="H2400" s="4" t="str">
        <f>""</f>
        <v/>
      </c>
      <c r="I2400" s="4" t="str">
        <f>""</f>
        <v/>
      </c>
    </row>
    <row r="2401" spans="1:9" x14ac:dyDescent="0.3">
      <c r="A2401" s="1" t="str">
        <f>"62"</f>
        <v>62</v>
      </c>
      <c r="B2401" s="4" t="str">
        <f>"SASU JPC Garage VASSEUR"</f>
        <v>SASU JPC Garage VASSEUR</v>
      </c>
      <c r="C2401" s="4">
        <v>752425504</v>
      </c>
      <c r="D2401" s="3" t="s">
        <v>0</v>
      </c>
      <c r="E2401" s="2" t="str">
        <f>"PR6200043D"</f>
        <v>PR6200043D</v>
      </c>
      <c r="F2401" s="5">
        <v>41061</v>
      </c>
      <c r="G2401" s="5">
        <v>54789</v>
      </c>
      <c r="H2401" s="4" t="str">
        <f>""</f>
        <v/>
      </c>
      <c r="I2401" s="4" t="str">
        <f>""</f>
        <v/>
      </c>
    </row>
    <row r="2402" spans="1:9" x14ac:dyDescent="0.3">
      <c r="A2402" s="1" t="str">
        <f>"62"</f>
        <v>62</v>
      </c>
      <c r="B2402" s="4" t="str">
        <f>"SASU JPC Garage VASSEUR"</f>
        <v>SASU JPC Garage VASSEUR</v>
      </c>
      <c r="C2402" s="4">
        <v>752425504</v>
      </c>
      <c r="D2402" s="3" t="s">
        <v>0</v>
      </c>
      <c r="E2402" s="2" t="str">
        <f>"0007002569"</f>
        <v>0007002569</v>
      </c>
      <c r="F2402" s="5">
        <v>41061</v>
      </c>
      <c r="G2402" s="5">
        <v>54789</v>
      </c>
      <c r="H2402" s="4" t="str">
        <f>""</f>
        <v/>
      </c>
      <c r="I2402" s="4" t="str">
        <f>""</f>
        <v/>
      </c>
    </row>
    <row r="2403" spans="1:9" x14ac:dyDescent="0.3">
      <c r="A2403" s="1" t="str">
        <f>"62"</f>
        <v>62</v>
      </c>
      <c r="B2403" s="4" t="str">
        <f>"Société MG PIECES AUTO"</f>
        <v>Société MG PIECES AUTO</v>
      </c>
      <c r="C2403" s="4">
        <v>792662736</v>
      </c>
      <c r="D2403" s="3" t="s">
        <v>0</v>
      </c>
      <c r="E2403" s="2" t="str">
        <f>"PR6200033D"</f>
        <v>PR6200033D</v>
      </c>
      <c r="F2403" s="5">
        <v>39878</v>
      </c>
      <c r="G2403" s="5">
        <v>54789</v>
      </c>
      <c r="H2403" s="4" t="str">
        <f>""</f>
        <v/>
      </c>
      <c r="I2403" s="4" t="str">
        <f>""</f>
        <v/>
      </c>
    </row>
    <row r="2404" spans="1:9" x14ac:dyDescent="0.3">
      <c r="A2404" s="1" t="str">
        <f>"62"</f>
        <v>62</v>
      </c>
      <c r="B2404" s="4" t="str">
        <f>"Garage Christine PERSON"</f>
        <v>Garage Christine PERSON</v>
      </c>
      <c r="C2404" s="4">
        <v>813222593</v>
      </c>
      <c r="D2404" s="3" t="s">
        <v>0</v>
      </c>
      <c r="E2404" s="2" t="str">
        <f>"PR62000025D"</f>
        <v>PR62000025D</v>
      </c>
      <c r="F2404" s="5">
        <v>39324</v>
      </c>
      <c r="G2404" s="5">
        <v>54789</v>
      </c>
      <c r="H2404" s="4" t="str">
        <f>""</f>
        <v/>
      </c>
      <c r="I2404" s="4" t="str">
        <f>""</f>
        <v/>
      </c>
    </row>
    <row r="2405" spans="1:9" x14ac:dyDescent="0.3">
      <c r="A2405" s="1" t="str">
        <f>"62"</f>
        <v>62</v>
      </c>
      <c r="B2405" s="4" t="str">
        <f>"LD AUTO STORE"</f>
        <v>LD AUTO STORE</v>
      </c>
      <c r="C2405" s="4">
        <v>814947578</v>
      </c>
      <c r="D2405" s="3" t="s">
        <v>0</v>
      </c>
      <c r="E2405" s="2" t="str">
        <f>"PR6200055D"</f>
        <v>PR6200055D</v>
      </c>
      <c r="F2405" s="5">
        <v>42871</v>
      </c>
      <c r="G2405" s="5">
        <v>54789</v>
      </c>
      <c r="H2405" s="4" t="str">
        <f>""</f>
        <v/>
      </c>
      <c r="I2405" s="4" t="str">
        <f>""</f>
        <v/>
      </c>
    </row>
    <row r="2406" spans="1:9" x14ac:dyDescent="0.3">
      <c r="A2406" s="1" t="str">
        <f>"62"</f>
        <v>62</v>
      </c>
      <c r="B2406" s="4" t="str">
        <f>"CASS62"</f>
        <v>CASS62</v>
      </c>
      <c r="C2406" s="4">
        <v>900259383</v>
      </c>
      <c r="D2406" s="3" t="s">
        <v>0</v>
      </c>
      <c r="E2406" s="2" t="str">
        <f>"PR62000019D"</f>
        <v>PR62000019D</v>
      </c>
      <c r="F2406" s="5">
        <v>39072</v>
      </c>
      <c r="G2406" s="5">
        <v>54789</v>
      </c>
      <c r="H2406" s="4" t="str">
        <f>""</f>
        <v/>
      </c>
      <c r="I2406" s="4" t="str">
        <f>""</f>
        <v/>
      </c>
    </row>
    <row r="2407" spans="1:9" x14ac:dyDescent="0.3">
      <c r="A2407" s="1" t="str">
        <f>"62"</f>
        <v>62</v>
      </c>
      <c r="B2407" s="4" t="str">
        <f>"CASS62"</f>
        <v>CASS62</v>
      </c>
      <c r="C2407" s="4">
        <v>900259383</v>
      </c>
      <c r="D2407" s="3" t="s">
        <v>0</v>
      </c>
      <c r="E2407" s="2" t="str">
        <f>"0007002146"</f>
        <v>0007002146</v>
      </c>
      <c r="F2407" s="5">
        <v>39072</v>
      </c>
      <c r="G2407" s="5">
        <v>54789</v>
      </c>
      <c r="H2407" s="4" t="str">
        <f>""</f>
        <v/>
      </c>
      <c r="I2407" s="4" t="str">
        <f>""</f>
        <v/>
      </c>
    </row>
    <row r="2408" spans="1:9" x14ac:dyDescent="0.3">
      <c r="A2408" s="1" t="str">
        <f>"62"</f>
        <v>62</v>
      </c>
      <c r="B2408" s="4" t="str">
        <f>"SARL DEPOLLU'CARS INDUSTRIE"</f>
        <v>SARL DEPOLLU'CARS INDUSTRIE</v>
      </c>
      <c r="C2408" s="4">
        <v>902509215</v>
      </c>
      <c r="D2408" s="3" t="s">
        <v>0</v>
      </c>
      <c r="E2408" s="2" t="str">
        <f>"PR6200059D"</f>
        <v>PR6200059D</v>
      </c>
      <c r="F2408" s="5">
        <v>44858</v>
      </c>
      <c r="G2408" s="5">
        <v>54789</v>
      </c>
      <c r="H2408" s="4" t="str">
        <f>""</f>
        <v/>
      </c>
      <c r="I2408" s="4" t="str">
        <f>""</f>
        <v/>
      </c>
    </row>
    <row r="2409" spans="1:9" x14ac:dyDescent="0.3">
      <c r="A2409" s="1" t="str">
        <f>"62"</f>
        <v>62</v>
      </c>
      <c r="B2409" s="4" t="str">
        <f>"SARL DEPOLLU'CARS INDUSTRIE"</f>
        <v>SARL DEPOLLU'CARS INDUSTRIE</v>
      </c>
      <c r="C2409" s="4">
        <v>902509215</v>
      </c>
      <c r="D2409" s="3" t="s">
        <v>0</v>
      </c>
      <c r="E2409" s="2" t="str">
        <f>"0100002444"</f>
        <v>0100002444</v>
      </c>
      <c r="F2409" s="5">
        <v>44858</v>
      </c>
      <c r="G2409" s="5">
        <v>54789</v>
      </c>
      <c r="H2409" s="4" t="str">
        <f>""</f>
        <v/>
      </c>
      <c r="I2409" s="4" t="str">
        <f>""</f>
        <v/>
      </c>
    </row>
    <row r="2410" spans="1:9" x14ac:dyDescent="0.3">
      <c r="A2410" s="1" t="str">
        <f>"62"</f>
        <v>62</v>
      </c>
      <c r="B2410" s="4" t="str">
        <f>"VALLIERE RECYCLAGE"</f>
        <v>VALLIERE RECYCLAGE</v>
      </c>
      <c r="C2410" s="4">
        <v>904031614</v>
      </c>
      <c r="D2410" s="3" t="s">
        <v>0</v>
      </c>
      <c r="E2410" s="2" t="str">
        <f>"PR6200060D"</f>
        <v>PR6200060D</v>
      </c>
      <c r="F2410" s="5">
        <v>45175</v>
      </c>
      <c r="G2410" s="5">
        <v>54789</v>
      </c>
      <c r="H2410" s="4" t="str">
        <f>""</f>
        <v/>
      </c>
      <c r="I2410" s="4" t="str">
        <f>""</f>
        <v/>
      </c>
    </row>
    <row r="2411" spans="1:9" x14ac:dyDescent="0.3">
      <c r="A2411" s="1" t="str">
        <f>"62"</f>
        <v>62</v>
      </c>
      <c r="B2411" s="4" t="str">
        <f>"MECANICASS (ex GARAGE PERSON)"</f>
        <v>MECANICASS (ex GARAGE PERSON)</v>
      </c>
      <c r="C2411" s="4">
        <v>919231977</v>
      </c>
      <c r="D2411" s="3" t="s">
        <v>0</v>
      </c>
      <c r="E2411" s="2" t="str">
        <f>"PR62000025D"</f>
        <v>PR62000025D</v>
      </c>
      <c r="F2411" s="5">
        <v>39324</v>
      </c>
      <c r="G2411" s="5">
        <v>54789</v>
      </c>
      <c r="H2411" s="4" t="str">
        <f>""</f>
        <v/>
      </c>
      <c r="I2411" s="4" t="str">
        <f>""</f>
        <v/>
      </c>
    </row>
    <row r="2412" spans="1:9" x14ac:dyDescent="0.3">
      <c r="A2412" s="1" t="str">
        <f>"62"</f>
        <v>62</v>
      </c>
      <c r="B2412" s="4" t="str">
        <f>"MECANICASS (ex GARAGE PERSON)"</f>
        <v>MECANICASS (ex GARAGE PERSON)</v>
      </c>
      <c r="C2412" s="4">
        <v>919231977</v>
      </c>
      <c r="D2412" s="3" t="s">
        <v>0</v>
      </c>
      <c r="E2412" s="2" t="str">
        <f>"0007002087"</f>
        <v>0007002087</v>
      </c>
      <c r="F2412" s="5">
        <v>39324</v>
      </c>
      <c r="G2412" s="5">
        <v>54789</v>
      </c>
      <c r="H2412" s="4" t="str">
        <f>""</f>
        <v/>
      </c>
      <c r="I2412" s="4" t="str">
        <f>""</f>
        <v/>
      </c>
    </row>
    <row r="2413" spans="1:9" x14ac:dyDescent="0.3">
      <c r="A2413" s="1" t="str">
        <f>"62"</f>
        <v>62</v>
      </c>
      <c r="B2413" s="4" t="str">
        <f>"SASU HPA Houdain Pièces Auto"</f>
        <v>SASU HPA Houdain Pièces Auto</v>
      </c>
      <c r="C2413" s="4">
        <v>932389794</v>
      </c>
      <c r="D2413" s="3" t="s">
        <v>0</v>
      </c>
      <c r="E2413" s="2" t="str">
        <f>"PR6200004D"</f>
        <v>PR6200004D</v>
      </c>
      <c r="F2413" s="5">
        <v>38868</v>
      </c>
      <c r="G2413" s="5">
        <v>54789</v>
      </c>
      <c r="H2413" s="4" t="str">
        <f>""</f>
        <v/>
      </c>
      <c r="I2413" s="4" t="str">
        <f>""</f>
        <v/>
      </c>
    </row>
    <row r="2414" spans="1:9" x14ac:dyDescent="0.3">
      <c r="A2414" s="1" t="str">
        <f>"62"</f>
        <v>62</v>
      </c>
      <c r="B2414" s="4" t="str">
        <f>"SASU HPA Houdain Pièces Auto"</f>
        <v>SASU HPA Houdain Pièces Auto</v>
      </c>
      <c r="C2414" s="4">
        <v>932389794</v>
      </c>
      <c r="D2414" s="3" t="s">
        <v>0</v>
      </c>
      <c r="E2414" s="2" t="str">
        <f>"0007002354"</f>
        <v>0007002354</v>
      </c>
      <c r="F2414" s="5">
        <v>38868</v>
      </c>
      <c r="G2414" s="5">
        <v>54789</v>
      </c>
      <c r="H2414" s="4" t="str">
        <f>""</f>
        <v/>
      </c>
      <c r="I2414" s="4" t="str">
        <f>""</f>
        <v/>
      </c>
    </row>
    <row r="2415" spans="1:9" x14ac:dyDescent="0.3">
      <c r="A2415" s="1" t="str">
        <f>"62"</f>
        <v>62</v>
      </c>
      <c r="B2415" s="4" t="str">
        <f>"SARL CASSE VAMPLUS MICKAEL"</f>
        <v>SARL CASSE VAMPLUS MICKAEL</v>
      </c>
      <c r="C2415" s="4">
        <v>981110166</v>
      </c>
      <c r="D2415" s="3" t="s">
        <v>0</v>
      </c>
      <c r="E2415" s="2" t="str">
        <f>"0007002919"</f>
        <v>0007002919</v>
      </c>
      <c r="F2415" s="5">
        <v>39197</v>
      </c>
      <c r="G2415" s="5">
        <v>54789</v>
      </c>
      <c r="H2415" s="4" t="str">
        <f>""</f>
        <v/>
      </c>
      <c r="I2415" s="4" t="str">
        <f>""</f>
        <v/>
      </c>
    </row>
    <row r="2416" spans="1:9" x14ac:dyDescent="0.3">
      <c r="A2416" s="1" t="str">
        <f>"63"</f>
        <v>63</v>
      </c>
      <c r="B2416" s="4" t="str">
        <f>"ETABLISSEMENTS BORNOT ET SERRE"</f>
        <v>ETABLISSEMENTS BORNOT ET SERRE</v>
      </c>
      <c r="C2416" s="4">
        <v>302278486</v>
      </c>
      <c r="D2416" s="3" t="s">
        <v>0</v>
      </c>
      <c r="E2416" s="2" t="str">
        <f>"PR6300008D"</f>
        <v>PR6300008D</v>
      </c>
      <c r="F2416" s="5">
        <v>39064</v>
      </c>
      <c r="G2416" s="5">
        <v>54789</v>
      </c>
      <c r="H2416" s="4" t="str">
        <f>""</f>
        <v/>
      </c>
      <c r="I2416" s="4" t="str">
        <f>""</f>
        <v/>
      </c>
    </row>
    <row r="2417" spans="1:9" x14ac:dyDescent="0.3">
      <c r="A2417" s="1" t="str">
        <f>"63"</f>
        <v>63</v>
      </c>
      <c r="B2417" s="4" t="str">
        <f>"SAS BORNOT ET SERRE"</f>
        <v>SAS BORNOT ET SERRE</v>
      </c>
      <c r="C2417" s="4">
        <v>302278486</v>
      </c>
      <c r="D2417" s="3" t="s">
        <v>0</v>
      </c>
      <c r="E2417" s="2" t="str">
        <f>"0005600338"</f>
        <v>0005600338</v>
      </c>
      <c r="F2417" s="5">
        <v>39064</v>
      </c>
      <c r="G2417" s="5">
        <v>54789</v>
      </c>
      <c r="H2417" s="4" t="str">
        <f>""</f>
        <v/>
      </c>
      <c r="I2417" s="4" t="str">
        <f>""</f>
        <v/>
      </c>
    </row>
    <row r="2418" spans="1:9" x14ac:dyDescent="0.3">
      <c r="A2418" s="1" t="str">
        <f>"63"</f>
        <v>63</v>
      </c>
      <c r="B2418" s="4" t="str">
        <f>"SEVP AUTO CLERMONT"</f>
        <v>SEVP AUTO CLERMONT</v>
      </c>
      <c r="C2418" s="4">
        <v>342323409</v>
      </c>
      <c r="D2418" s="3" t="s">
        <v>0</v>
      </c>
      <c r="E2418" s="2" t="str">
        <f>"0005600337"</f>
        <v>0005600337</v>
      </c>
      <c r="F2418" s="5">
        <v>41074</v>
      </c>
      <c r="G2418" s="5">
        <v>54789</v>
      </c>
      <c r="H2418" s="4" t="str">
        <f>""</f>
        <v/>
      </c>
      <c r="I2418" s="4" t="str">
        <f>""</f>
        <v/>
      </c>
    </row>
    <row r="2419" spans="1:9" x14ac:dyDescent="0.3">
      <c r="A2419" s="1" t="str">
        <f>"63"</f>
        <v>63</v>
      </c>
      <c r="B2419" s="4" t="str">
        <f>"SEVP AUTO CLERMONT"</f>
        <v>SEVP AUTO CLERMONT</v>
      </c>
      <c r="C2419" s="4">
        <v>342323409</v>
      </c>
      <c r="D2419" s="3" t="s">
        <v>0</v>
      </c>
      <c r="E2419" s="2" t="str">
        <f>"PR6300003D"</f>
        <v>PR6300003D</v>
      </c>
      <c r="F2419" s="5">
        <v>41074</v>
      </c>
      <c r="G2419" s="5">
        <v>54789</v>
      </c>
      <c r="H2419" s="4" t="str">
        <f>""</f>
        <v/>
      </c>
      <c r="I2419" s="4" t="str">
        <f>""</f>
        <v/>
      </c>
    </row>
    <row r="2420" spans="1:9" x14ac:dyDescent="0.3">
      <c r="A2420" s="1" t="str">
        <f>"63"</f>
        <v>63</v>
      </c>
      <c r="B2420" s="4" t="str">
        <f>"SAS DYNO ET FILS"</f>
        <v>SAS DYNO ET FILS</v>
      </c>
      <c r="C2420" s="4">
        <v>350350047</v>
      </c>
      <c r="D2420" s="3" t="s">
        <v>0</v>
      </c>
      <c r="E2420" s="2" t="str">
        <f>"0005600402"</f>
        <v>0005600402</v>
      </c>
      <c r="F2420" s="5">
        <v>38888</v>
      </c>
      <c r="G2420" s="5">
        <v>54789</v>
      </c>
      <c r="H2420" s="4" t="str">
        <f>""</f>
        <v/>
      </c>
      <c r="I2420" s="4" t="str">
        <f>""</f>
        <v/>
      </c>
    </row>
    <row r="2421" spans="1:9" x14ac:dyDescent="0.3">
      <c r="A2421" s="1" t="str">
        <f>"63"</f>
        <v>63</v>
      </c>
      <c r="B2421" s="4" t="str">
        <f>"SAS DYNO ET FILS"</f>
        <v>SAS DYNO ET FILS</v>
      </c>
      <c r="C2421" s="4">
        <v>350350047</v>
      </c>
      <c r="D2421" s="3" t="s">
        <v>0</v>
      </c>
      <c r="E2421" s="2" t="str">
        <f>"PR6300001D"</f>
        <v>PR6300001D</v>
      </c>
      <c r="F2421" s="5">
        <v>38888</v>
      </c>
      <c r="G2421" s="5">
        <v>54789</v>
      </c>
      <c r="H2421" s="4" t="str">
        <f>""</f>
        <v/>
      </c>
      <c r="I2421" s="4" t="str">
        <f>""</f>
        <v/>
      </c>
    </row>
    <row r="2422" spans="1:9" x14ac:dyDescent="0.3">
      <c r="A2422" s="1" t="str">
        <f>"63"</f>
        <v>63</v>
      </c>
      <c r="B2422" s="4" t="str">
        <f>"BRETON BERNARD"</f>
        <v>BRETON BERNARD</v>
      </c>
      <c r="C2422" s="4">
        <v>351071006</v>
      </c>
      <c r="D2422" s="3" t="s">
        <v>0</v>
      </c>
      <c r="E2422" s="2" t="str">
        <f>"PR6300020D"</f>
        <v>PR6300020D</v>
      </c>
      <c r="F2422" s="5">
        <v>40532</v>
      </c>
      <c r="G2422" s="5">
        <v>54789</v>
      </c>
      <c r="H2422" s="4" t="str">
        <f>""</f>
        <v/>
      </c>
      <c r="I2422" s="4" t="str">
        <f>""</f>
        <v/>
      </c>
    </row>
    <row r="2423" spans="1:9" x14ac:dyDescent="0.3">
      <c r="A2423" s="1" t="str">
        <f>"63"</f>
        <v>63</v>
      </c>
      <c r="B2423" s="4" t="str">
        <f>"BRETON BERNARD"</f>
        <v>BRETON BERNARD</v>
      </c>
      <c r="C2423" s="4">
        <v>351071006</v>
      </c>
      <c r="D2423" s="3" t="s">
        <v>0</v>
      </c>
      <c r="E2423" s="2" t="str">
        <f>"0005600413"</f>
        <v>0005600413</v>
      </c>
      <c r="F2423" s="5">
        <v>40532</v>
      </c>
      <c r="G2423" s="5">
        <v>54789</v>
      </c>
      <c r="H2423" s="4" t="str">
        <f>""</f>
        <v/>
      </c>
      <c r="I2423" s="4" t="str">
        <f>""</f>
        <v/>
      </c>
    </row>
    <row r="2424" spans="1:9" x14ac:dyDescent="0.3">
      <c r="A2424" s="1" t="str">
        <f>"63"</f>
        <v>63</v>
      </c>
      <c r="B2424" s="4" t="str">
        <f>"PAPREC AUVERGNE"</f>
        <v>PAPREC AUVERGNE</v>
      </c>
      <c r="C2424" s="4">
        <v>397180084</v>
      </c>
      <c r="D2424" s="3" t="s">
        <v>0</v>
      </c>
      <c r="E2424" s="2" t="str">
        <f>"PR6300002D"</f>
        <v>PR6300002D</v>
      </c>
      <c r="F2424" s="5">
        <v>41074</v>
      </c>
      <c r="G2424" s="5">
        <v>54789</v>
      </c>
      <c r="H2424" s="4" t="str">
        <f>""</f>
        <v/>
      </c>
      <c r="I2424" s="4" t="str">
        <f>""</f>
        <v/>
      </c>
    </row>
    <row r="2425" spans="1:9" x14ac:dyDescent="0.3">
      <c r="A2425" s="1" t="str">
        <f>"63"</f>
        <v>63</v>
      </c>
      <c r="B2425" s="4" t="str">
        <f>"PAPREC AUVERGNE"</f>
        <v>PAPREC AUVERGNE</v>
      </c>
      <c r="C2425" s="4">
        <v>397180084</v>
      </c>
      <c r="D2425" s="3" t="s">
        <v>0</v>
      </c>
      <c r="E2425" s="2" t="str">
        <f>"0005600426"</f>
        <v>0005600426</v>
      </c>
      <c r="F2425" s="5">
        <v>41074</v>
      </c>
      <c r="G2425" s="5">
        <v>54789</v>
      </c>
      <c r="H2425" s="4" t="str">
        <f>""</f>
        <v/>
      </c>
      <c r="I2425" s="4" t="str">
        <f>""</f>
        <v/>
      </c>
    </row>
    <row r="2426" spans="1:9" x14ac:dyDescent="0.3">
      <c r="A2426" s="1" t="str">
        <f>"63"</f>
        <v>63</v>
      </c>
      <c r="B2426" s="4" t="str">
        <f>"SARL THOR"</f>
        <v>SARL THOR</v>
      </c>
      <c r="C2426" s="4">
        <v>399521319</v>
      </c>
      <c r="D2426" s="3" t="s">
        <v>0</v>
      </c>
      <c r="E2426" s="2" t="str">
        <f>"PR6300006D"</f>
        <v>PR6300006D</v>
      </c>
      <c r="F2426" s="5">
        <v>39052</v>
      </c>
      <c r="G2426" s="5">
        <v>54789</v>
      </c>
      <c r="H2426" s="4" t="str">
        <f>""</f>
        <v/>
      </c>
      <c r="I2426" s="4" t="str">
        <f>""</f>
        <v/>
      </c>
    </row>
    <row r="2427" spans="1:9" x14ac:dyDescent="0.3">
      <c r="A2427" s="1" t="str">
        <f>"63"</f>
        <v>63</v>
      </c>
      <c r="B2427" s="4" t="str">
        <f>"D'PAR"</f>
        <v>D'PAR</v>
      </c>
      <c r="C2427" s="4">
        <v>400205472</v>
      </c>
      <c r="D2427" s="3" t="s">
        <v>0</v>
      </c>
      <c r="E2427" s="2" t="str">
        <f>"PR6300011D"</f>
        <v>PR6300011D</v>
      </c>
      <c r="F2427" s="5">
        <v>39182</v>
      </c>
      <c r="G2427" s="5">
        <v>54789</v>
      </c>
      <c r="H2427" s="4" t="str">
        <f>""</f>
        <v/>
      </c>
      <c r="I2427" s="4" t="str">
        <f>""</f>
        <v/>
      </c>
    </row>
    <row r="2428" spans="1:9" x14ac:dyDescent="0.3">
      <c r="A2428" s="1" t="str">
        <f>"63"</f>
        <v>63</v>
      </c>
      <c r="B2428" s="4" t="str">
        <f>"D'PAR"</f>
        <v>D'PAR</v>
      </c>
      <c r="C2428" s="4">
        <v>400205472</v>
      </c>
      <c r="D2428" s="3" t="s">
        <v>0</v>
      </c>
      <c r="E2428" s="2" t="str">
        <f>"0005601678"</f>
        <v>0005601678</v>
      </c>
      <c r="F2428" s="5">
        <v>39182</v>
      </c>
      <c r="G2428" s="5">
        <v>54789</v>
      </c>
      <c r="H2428" s="4" t="str">
        <f>""</f>
        <v/>
      </c>
      <c r="I2428" s="4" t="str">
        <f>""</f>
        <v/>
      </c>
    </row>
    <row r="2429" spans="1:9" x14ac:dyDescent="0.3">
      <c r="A2429" s="1" t="str">
        <f>"63"</f>
        <v>63</v>
      </c>
      <c r="B2429" s="4" t="str">
        <f>"HINDERCHIED FRERES"</f>
        <v>HINDERCHIED FRERES</v>
      </c>
      <c r="C2429" s="4">
        <v>450194220</v>
      </c>
      <c r="D2429" s="3" t="s">
        <v>0</v>
      </c>
      <c r="E2429" s="2" t="str">
        <f>"PR6300023D"</f>
        <v>PR6300023D</v>
      </c>
      <c r="F2429" s="5">
        <v>43902</v>
      </c>
      <c r="G2429" s="5">
        <v>54789</v>
      </c>
      <c r="H2429" s="4" t="str">
        <f>""</f>
        <v/>
      </c>
      <c r="I2429" s="4" t="str">
        <f>""</f>
        <v/>
      </c>
    </row>
    <row r="2430" spans="1:9" x14ac:dyDescent="0.3">
      <c r="A2430" s="1" t="str">
        <f>"63"</f>
        <v>63</v>
      </c>
      <c r="B2430" s="4" t="str">
        <f>"HINDERCHIED FRERES"</f>
        <v>HINDERCHIED FRERES</v>
      </c>
      <c r="C2430" s="4">
        <v>450194220</v>
      </c>
      <c r="D2430" s="3" t="s">
        <v>0</v>
      </c>
      <c r="E2430" s="2" t="str">
        <f>"0003202521"</f>
        <v>0003202521</v>
      </c>
      <c r="F2430" s="5">
        <v>43902</v>
      </c>
      <c r="G2430" s="5">
        <v>54789</v>
      </c>
      <c r="H2430" s="4" t="str">
        <f>""</f>
        <v/>
      </c>
      <c r="I2430" s="4" t="str">
        <f>""</f>
        <v/>
      </c>
    </row>
    <row r="2431" spans="1:9" x14ac:dyDescent="0.3">
      <c r="A2431" s="1" t="str">
        <f>"63"</f>
        <v>63</v>
      </c>
      <c r="B2431" s="4" t="str">
        <f>"BECKER"</f>
        <v>BECKER</v>
      </c>
      <c r="C2431" s="4">
        <v>483472122</v>
      </c>
      <c r="D2431" s="3" t="s">
        <v>0</v>
      </c>
      <c r="E2431" s="2" t="str">
        <f>"PR6300004D"</f>
        <v>PR6300004D</v>
      </c>
      <c r="F2431" s="5">
        <v>38965</v>
      </c>
      <c r="G2431" s="5">
        <v>54789</v>
      </c>
      <c r="H2431" s="4" t="str">
        <f>""</f>
        <v/>
      </c>
      <c r="I2431" s="4" t="str">
        <f>""</f>
        <v/>
      </c>
    </row>
    <row r="2432" spans="1:9" x14ac:dyDescent="0.3">
      <c r="A2432" s="1" t="str">
        <f>"63"</f>
        <v>63</v>
      </c>
      <c r="B2432" s="4" t="str">
        <f>"BECKER"</f>
        <v>BECKER</v>
      </c>
      <c r="C2432" s="4">
        <v>483472122</v>
      </c>
      <c r="D2432" s="3" t="s">
        <v>0</v>
      </c>
      <c r="E2432" s="2" t="str">
        <f>"0005601699"</f>
        <v>0005601699</v>
      </c>
      <c r="F2432" s="5">
        <v>38965</v>
      </c>
      <c r="G2432" s="5">
        <v>54789</v>
      </c>
      <c r="H2432" s="4" t="str">
        <f>""</f>
        <v/>
      </c>
      <c r="I2432" s="4" t="str">
        <f>""</f>
        <v/>
      </c>
    </row>
    <row r="2433" spans="1:9" x14ac:dyDescent="0.3">
      <c r="A2433" s="1" t="str">
        <f>"63"</f>
        <v>63</v>
      </c>
      <c r="B2433" s="4" t="str">
        <f>"CLAUSTRE ENVIRONNEMENT"</f>
        <v>CLAUSTRE ENVIRONNEMENT</v>
      </c>
      <c r="C2433" s="4">
        <v>501739304</v>
      </c>
      <c r="D2433" s="3" t="s">
        <v>0</v>
      </c>
      <c r="E2433" s="2" t="str">
        <f>"PR6300018D"</f>
        <v>PR6300018D</v>
      </c>
      <c r="F2433" s="5">
        <v>43479</v>
      </c>
      <c r="G2433" s="5">
        <v>54789</v>
      </c>
      <c r="H2433" s="4" t="str">
        <f>""</f>
        <v/>
      </c>
      <c r="I2433" s="4" t="str">
        <f>""</f>
        <v/>
      </c>
    </row>
    <row r="2434" spans="1:9" x14ac:dyDescent="0.3">
      <c r="A2434" s="1" t="str">
        <f>"63"</f>
        <v>63</v>
      </c>
      <c r="B2434" s="4" t="str">
        <f>"CLAUSTRE ENVIRONNEMENT"</f>
        <v>CLAUSTRE ENVIRONNEMENT</v>
      </c>
      <c r="C2434" s="4">
        <v>501739304</v>
      </c>
      <c r="D2434" s="3" t="s">
        <v>0</v>
      </c>
      <c r="E2434" s="2" t="str">
        <f>"0005601971"</f>
        <v>0005601971</v>
      </c>
      <c r="F2434" s="5">
        <v>43479</v>
      </c>
      <c r="G2434" s="5">
        <v>54789</v>
      </c>
      <c r="H2434" s="4" t="str">
        <f>""</f>
        <v/>
      </c>
      <c r="I2434" s="4" t="str">
        <f>""</f>
        <v/>
      </c>
    </row>
    <row r="2435" spans="1:9" x14ac:dyDescent="0.3">
      <c r="A2435" s="1" t="str">
        <f>"63"</f>
        <v>63</v>
      </c>
      <c r="B2435" s="4" t="str">
        <f>"CLAUSTRE ENVIRONNEMENT"</f>
        <v>CLAUSTRE ENVIRONNEMENT</v>
      </c>
      <c r="C2435" s="4">
        <v>501739304</v>
      </c>
      <c r="D2435" s="3" t="s">
        <v>0</v>
      </c>
      <c r="E2435" s="2" t="str">
        <f>"PR6300029D"</f>
        <v>PR6300029D</v>
      </c>
      <c r="F2435" s="5">
        <v>44047</v>
      </c>
      <c r="G2435" s="5">
        <v>54789</v>
      </c>
      <c r="H2435" s="4" t="str">
        <f>""</f>
        <v/>
      </c>
      <c r="I2435" s="4" t="str">
        <f>""</f>
        <v/>
      </c>
    </row>
    <row r="2436" spans="1:9" x14ac:dyDescent="0.3">
      <c r="A2436" s="1" t="str">
        <f>"63"</f>
        <v>63</v>
      </c>
      <c r="B2436" s="4" t="str">
        <f>"PRAXY CENTRE"</f>
        <v>PRAXY CENTRE</v>
      </c>
      <c r="C2436" s="4">
        <v>518205976</v>
      </c>
      <c r="D2436" s="3" t="s">
        <v>0</v>
      </c>
      <c r="E2436" s="2" t="str">
        <f>"PR6300021D"</f>
        <v>PR6300021D</v>
      </c>
      <c r="F2436" s="5">
        <v>41015</v>
      </c>
      <c r="G2436" s="5">
        <v>54789</v>
      </c>
      <c r="H2436" s="4" t="str">
        <f>""</f>
        <v/>
      </c>
      <c r="I2436" s="4" t="str">
        <f>""</f>
        <v/>
      </c>
    </row>
    <row r="2437" spans="1:9" x14ac:dyDescent="0.3">
      <c r="A2437" s="1" t="str">
        <f>"63"</f>
        <v>63</v>
      </c>
      <c r="B2437" s="4" t="str">
        <f>"PRAXY CENTRE"</f>
        <v>PRAXY CENTRE</v>
      </c>
      <c r="C2437" s="4">
        <v>518205976</v>
      </c>
      <c r="D2437" s="3" t="s">
        <v>0</v>
      </c>
      <c r="E2437" s="2" t="str">
        <f>"PR6300001B"</f>
        <v>PR6300001B</v>
      </c>
      <c r="F2437" s="5">
        <v>41015</v>
      </c>
      <c r="G2437" s="5">
        <v>54789</v>
      </c>
      <c r="H2437" s="4" t="str">
        <f>""</f>
        <v/>
      </c>
      <c r="I2437" s="4" t="str">
        <f>""</f>
        <v/>
      </c>
    </row>
    <row r="2438" spans="1:9" x14ac:dyDescent="0.3">
      <c r="A2438" s="1" t="str">
        <f>"63"</f>
        <v>63</v>
      </c>
      <c r="B2438" s="4" t="str">
        <f>"PRAXY CENTRE"</f>
        <v>PRAXY CENTRE</v>
      </c>
      <c r="C2438" s="4">
        <v>518205976</v>
      </c>
      <c r="D2438" s="3" t="s">
        <v>0</v>
      </c>
      <c r="E2438" s="2" t="str">
        <f>"0005601759"</f>
        <v>0005601759</v>
      </c>
      <c r="F2438" s="5">
        <v>41015</v>
      </c>
      <c r="G2438" s="5">
        <v>54789</v>
      </c>
      <c r="H2438" s="4" t="str">
        <f>""</f>
        <v/>
      </c>
      <c r="I2438" s="4" t="str">
        <f>""</f>
        <v/>
      </c>
    </row>
    <row r="2439" spans="1:9" x14ac:dyDescent="0.3">
      <c r="A2439" s="1" t="str">
        <f>"63"</f>
        <v>63</v>
      </c>
      <c r="B2439" s="4" t="str">
        <f>"RIS REP AUTO"</f>
        <v>RIS REP AUTO</v>
      </c>
      <c r="C2439" s="4">
        <v>533305983</v>
      </c>
      <c r="D2439" s="3" t="s">
        <v>0</v>
      </c>
      <c r="E2439" s="2" t="str">
        <f>"PR6300022D"</f>
        <v>PR6300022D</v>
      </c>
      <c r="F2439" s="5">
        <v>43732</v>
      </c>
      <c r="G2439" s="5">
        <v>54789</v>
      </c>
      <c r="H2439" s="4" t="str">
        <f>""</f>
        <v/>
      </c>
      <c r="I2439" s="4" t="str">
        <f>""</f>
        <v/>
      </c>
    </row>
    <row r="2440" spans="1:9" x14ac:dyDescent="0.3">
      <c r="A2440" s="1" t="str">
        <f>"63"</f>
        <v>63</v>
      </c>
      <c r="B2440" s="4" t="str">
        <f>"RIS REP AUTO"</f>
        <v>RIS REP AUTO</v>
      </c>
      <c r="C2440" s="4">
        <v>533305983</v>
      </c>
      <c r="D2440" s="3" t="s">
        <v>0</v>
      </c>
      <c r="E2440" s="2" t="str">
        <f>"0003201456"</f>
        <v>0003201456</v>
      </c>
      <c r="F2440" s="5">
        <v>43732</v>
      </c>
      <c r="G2440" s="5">
        <v>54789</v>
      </c>
      <c r="H2440" s="4" t="str">
        <f>""</f>
        <v/>
      </c>
      <c r="I2440" s="4" t="str">
        <f>""</f>
        <v/>
      </c>
    </row>
    <row r="2441" spans="1:9" x14ac:dyDescent="0.3">
      <c r="A2441" s="1" t="str">
        <f>"63"</f>
        <v>63</v>
      </c>
      <c r="B2441" s="4" t="str">
        <f>"CAR CASS'AUTO"</f>
        <v>CAR CASS'AUTO</v>
      </c>
      <c r="C2441" s="4">
        <v>789484896</v>
      </c>
      <c r="D2441" s="3" t="s">
        <v>0</v>
      </c>
      <c r="E2441" s="2" t="str">
        <f>"PR6300009D"</f>
        <v>PR6300009D</v>
      </c>
      <c r="F2441" s="5">
        <v>42453</v>
      </c>
      <c r="G2441" s="5">
        <v>54789</v>
      </c>
      <c r="H2441" s="4" t="str">
        <f>""</f>
        <v/>
      </c>
      <c r="I2441" s="4" t="str">
        <f>""</f>
        <v/>
      </c>
    </row>
    <row r="2442" spans="1:9" x14ac:dyDescent="0.3">
      <c r="A2442" s="1" t="str">
        <f>"63"</f>
        <v>63</v>
      </c>
      <c r="B2442" s="4" t="str">
        <f>"CAR CASS'AUTO"</f>
        <v>CAR CASS'AUTO</v>
      </c>
      <c r="C2442" s="4">
        <v>789484896</v>
      </c>
      <c r="D2442" s="3" t="s">
        <v>0</v>
      </c>
      <c r="E2442" s="2" t="str">
        <f>"0005600414"</f>
        <v>0005600414</v>
      </c>
      <c r="F2442" s="5">
        <v>42453</v>
      </c>
      <c r="G2442" s="5">
        <v>54789</v>
      </c>
      <c r="H2442" s="4" t="str">
        <f>""</f>
        <v/>
      </c>
      <c r="I2442" s="4" t="str">
        <f>""</f>
        <v/>
      </c>
    </row>
    <row r="2443" spans="1:9" x14ac:dyDescent="0.3">
      <c r="A2443" s="1" t="str">
        <f>"63"</f>
        <v>63</v>
      </c>
      <c r="B2443" s="4" t="str">
        <f>"SARL ETABLISSEMENTS THOR ROGER"</f>
        <v>SARL ETABLISSEMENTS THOR ROGER</v>
      </c>
      <c r="C2443" s="4">
        <v>793402660</v>
      </c>
      <c r="D2443" s="3" t="s">
        <v>0</v>
      </c>
      <c r="E2443" s="2" t="str">
        <f>"PR6300025D"</f>
        <v>PR6300025D</v>
      </c>
      <c r="F2443" s="5">
        <v>41911</v>
      </c>
      <c r="G2443" s="5">
        <v>54789</v>
      </c>
      <c r="H2443" s="4" t="str">
        <f>""</f>
        <v/>
      </c>
      <c r="I2443" s="4" t="str">
        <f>""</f>
        <v/>
      </c>
    </row>
    <row r="2444" spans="1:9" x14ac:dyDescent="0.3">
      <c r="A2444" s="1" t="str">
        <f>"63"</f>
        <v>63</v>
      </c>
      <c r="B2444" s="4" t="str">
        <f>"SARL ETABLISSEMENTS THOR ROGER"</f>
        <v>SARL ETABLISSEMENTS THOR ROGER</v>
      </c>
      <c r="C2444" s="4">
        <v>793402660</v>
      </c>
      <c r="D2444" s="3" t="s">
        <v>0</v>
      </c>
      <c r="E2444" s="2" t="str">
        <f>"0005600379"</f>
        <v>0005600379</v>
      </c>
      <c r="F2444" s="5">
        <v>41911</v>
      </c>
      <c r="G2444" s="5">
        <v>54789</v>
      </c>
      <c r="H2444" s="4" t="str">
        <f>""</f>
        <v/>
      </c>
      <c r="I2444" s="4" t="str">
        <f>""</f>
        <v/>
      </c>
    </row>
    <row r="2445" spans="1:9" x14ac:dyDescent="0.3">
      <c r="A2445" s="1" t="str">
        <f>"63"</f>
        <v>63</v>
      </c>
      <c r="B2445" s="4" t="str">
        <f>"CLERMONT DEMOLITION AUTO"</f>
        <v>CLERMONT DEMOLITION AUTO</v>
      </c>
      <c r="C2445" s="4">
        <v>794354977</v>
      </c>
      <c r="D2445" s="3" t="s">
        <v>0</v>
      </c>
      <c r="E2445" s="2" t="str">
        <f>"PR6300007D"</f>
        <v>PR6300007D</v>
      </c>
      <c r="F2445" s="5">
        <v>41592</v>
      </c>
      <c r="G2445" s="5">
        <v>54789</v>
      </c>
      <c r="H2445" s="4" t="str">
        <f>""</f>
        <v/>
      </c>
      <c r="I2445" s="4" t="str">
        <f>""</f>
        <v/>
      </c>
    </row>
    <row r="2446" spans="1:9" x14ac:dyDescent="0.3">
      <c r="A2446" s="1" t="str">
        <f>"63"</f>
        <v>63</v>
      </c>
      <c r="B2446" s="4" t="str">
        <f>"CLERMONT DEMOLITION AUTO"</f>
        <v>CLERMONT DEMOLITION AUTO</v>
      </c>
      <c r="C2446" s="4">
        <v>794354977</v>
      </c>
      <c r="D2446" s="3" t="s">
        <v>0</v>
      </c>
      <c r="E2446" s="2" t="str">
        <f>"0005600322"</f>
        <v>0005600322</v>
      </c>
      <c r="F2446" s="5">
        <v>41592</v>
      </c>
      <c r="G2446" s="5">
        <v>54789</v>
      </c>
      <c r="H2446" s="4" t="str">
        <f>""</f>
        <v/>
      </c>
      <c r="I2446" s="4" t="str">
        <f>""</f>
        <v/>
      </c>
    </row>
    <row r="2447" spans="1:9" x14ac:dyDescent="0.3">
      <c r="A2447" s="1" t="str">
        <f>"63"</f>
        <v>63</v>
      </c>
      <c r="B2447" s="4" t="str">
        <f>"GREEN CASSE AUTO PIECES"</f>
        <v>GREEN CASSE AUTO PIECES</v>
      </c>
      <c r="C2447" s="4">
        <v>804785368</v>
      </c>
      <c r="D2447" s="3" t="s">
        <v>0</v>
      </c>
      <c r="E2447" s="2" t="str">
        <f>"PR6300019D"</f>
        <v>PR6300019D</v>
      </c>
      <c r="F2447" s="5">
        <v>42051</v>
      </c>
      <c r="G2447" s="5">
        <v>54789</v>
      </c>
      <c r="H2447" s="4" t="str">
        <f>""</f>
        <v/>
      </c>
      <c r="I2447" s="4" t="str">
        <f>""</f>
        <v/>
      </c>
    </row>
    <row r="2448" spans="1:9" x14ac:dyDescent="0.3">
      <c r="A2448" s="1" t="str">
        <f>"63"</f>
        <v>63</v>
      </c>
      <c r="B2448" s="4" t="str">
        <f>"GREEN CASSE AUTO PIECES"</f>
        <v>GREEN CASSE AUTO PIECES</v>
      </c>
      <c r="C2448" s="4">
        <v>804785368</v>
      </c>
      <c r="D2448" s="3" t="s">
        <v>0</v>
      </c>
      <c r="E2448" s="2" t="str">
        <f>"0005600339"</f>
        <v>0005600339</v>
      </c>
      <c r="F2448" s="5">
        <v>42051</v>
      </c>
      <c r="G2448" s="5">
        <v>54789</v>
      </c>
      <c r="H2448" s="4" t="str">
        <f>""</f>
        <v/>
      </c>
      <c r="I2448" s="4" t="str">
        <f>""</f>
        <v/>
      </c>
    </row>
    <row r="2449" spans="1:9" x14ac:dyDescent="0.3">
      <c r="A2449" s="1" t="str">
        <f>"63"</f>
        <v>63</v>
      </c>
      <c r="B2449" s="4" t="str">
        <f>"HINDERCHIED RECUPERATION"</f>
        <v>HINDERCHIED RECUPERATION</v>
      </c>
      <c r="C2449" s="4">
        <v>844686683</v>
      </c>
      <c r="D2449" s="3" t="s">
        <v>0</v>
      </c>
      <c r="E2449" s="2" t="str">
        <f>"PR6300027D"</f>
        <v>PR6300027D</v>
      </c>
      <c r="F2449" s="5">
        <v>45146</v>
      </c>
      <c r="G2449" s="5">
        <v>54789</v>
      </c>
      <c r="H2449" s="4" t="str">
        <f>""</f>
        <v/>
      </c>
      <c r="I2449" s="4" t="str">
        <f>""</f>
        <v/>
      </c>
    </row>
    <row r="2450" spans="1:9" x14ac:dyDescent="0.3">
      <c r="A2450" s="1" t="str">
        <f>"63"</f>
        <v>63</v>
      </c>
      <c r="B2450" s="4" t="str">
        <f>"HINDERCHIED RECUPERATION"</f>
        <v>HINDERCHIED RECUPERATION</v>
      </c>
      <c r="C2450" s="4">
        <v>844686683</v>
      </c>
      <c r="D2450" s="3" t="s">
        <v>0</v>
      </c>
      <c r="E2450" s="2" t="str">
        <f>"0016300197"</f>
        <v>0016300197</v>
      </c>
      <c r="F2450" s="5">
        <v>45146</v>
      </c>
      <c r="G2450" s="5">
        <v>54789</v>
      </c>
      <c r="H2450" s="4" t="str">
        <f>""</f>
        <v/>
      </c>
      <c r="I2450" s="4" t="str">
        <f>""</f>
        <v/>
      </c>
    </row>
    <row r="2451" spans="1:9" x14ac:dyDescent="0.3">
      <c r="A2451" s="1" t="str">
        <f>"63"</f>
        <v>63</v>
      </c>
      <c r="B2451" s="4" t="str">
        <f>"SOCIETE DAP ULMANN"</f>
        <v>SOCIETE DAP ULMANN</v>
      </c>
      <c r="C2451" s="4">
        <v>900222647</v>
      </c>
      <c r="D2451" s="3" t="s">
        <v>0</v>
      </c>
      <c r="E2451" s="2" t="str">
        <f>"PR6300024D"</f>
        <v>PR6300024D</v>
      </c>
      <c r="F2451" s="5">
        <v>44524</v>
      </c>
      <c r="G2451" s="5">
        <v>54789</v>
      </c>
      <c r="H2451" s="4" t="str">
        <f>""</f>
        <v/>
      </c>
      <c r="I2451" s="4" t="str">
        <f>""</f>
        <v/>
      </c>
    </row>
    <row r="2452" spans="1:9" x14ac:dyDescent="0.3">
      <c r="A2452" s="1" t="str">
        <f>"63"</f>
        <v>63</v>
      </c>
      <c r="B2452" s="4" t="str">
        <f>"SOCIETE DAP ULMANN"</f>
        <v>SOCIETE DAP ULMANN</v>
      </c>
      <c r="C2452" s="4">
        <v>900222647</v>
      </c>
      <c r="D2452" s="3" t="s">
        <v>0</v>
      </c>
      <c r="E2452" s="2" t="str">
        <f>"0005600397"</f>
        <v>0005600397</v>
      </c>
      <c r="F2452" s="5">
        <v>44524</v>
      </c>
      <c r="G2452" s="5">
        <v>54789</v>
      </c>
      <c r="H2452" s="4" t="str">
        <f>""</f>
        <v/>
      </c>
      <c r="I2452" s="4" t="str">
        <f>""</f>
        <v/>
      </c>
    </row>
    <row r="2453" spans="1:9" x14ac:dyDescent="0.3">
      <c r="A2453" s="1" t="str">
        <f>"63"</f>
        <v>63</v>
      </c>
      <c r="B2453" s="4" t="str">
        <f>"BSD AUTO SERVICE"</f>
        <v>BSD AUTO SERVICE</v>
      </c>
      <c r="C2453" s="4">
        <v>912235769</v>
      </c>
      <c r="D2453" s="3" t="s">
        <v>0</v>
      </c>
      <c r="E2453" s="2" t="str">
        <f>"PR6300026D"</f>
        <v>PR6300026D</v>
      </c>
      <c r="F2453" s="5">
        <v>44662</v>
      </c>
      <c r="G2453" s="5">
        <v>54789</v>
      </c>
      <c r="H2453" s="4" t="str">
        <f>""</f>
        <v/>
      </c>
      <c r="I2453" s="4" t="str">
        <f>""</f>
        <v/>
      </c>
    </row>
    <row r="2454" spans="1:9" x14ac:dyDescent="0.3">
      <c r="A2454" s="1" t="str">
        <f>"63"</f>
        <v>63</v>
      </c>
      <c r="B2454" s="4" t="str">
        <f>"BSD AUTO SERVICE"</f>
        <v>BSD AUTO SERVICE</v>
      </c>
      <c r="C2454" s="4">
        <v>912235769</v>
      </c>
      <c r="D2454" s="3" t="s">
        <v>0</v>
      </c>
      <c r="E2454" s="2" t="str">
        <f>"0003205269"</f>
        <v>0003205269</v>
      </c>
      <c r="F2454" s="5">
        <v>44662</v>
      </c>
      <c r="G2454" s="5">
        <v>54789</v>
      </c>
      <c r="H2454" s="4" t="str">
        <f>""</f>
        <v/>
      </c>
      <c r="I2454" s="4" t="str">
        <f>""</f>
        <v/>
      </c>
    </row>
    <row r="2455" spans="1:9" x14ac:dyDescent="0.3">
      <c r="A2455" s="1" t="str">
        <f>"63"</f>
        <v>63</v>
      </c>
      <c r="B2455" s="4" t="str">
        <f>"M.L AUTOPIECES 63"</f>
        <v>M.L AUTOPIECES 63</v>
      </c>
      <c r="C2455" s="4">
        <v>980054076</v>
      </c>
      <c r="D2455" s="3" t="s">
        <v>0</v>
      </c>
      <c r="E2455" s="2" t="str">
        <f>"PR6300028D"</f>
        <v>PR6300028D</v>
      </c>
      <c r="F2455" s="5">
        <v>45324</v>
      </c>
      <c r="G2455" s="5">
        <v>54789</v>
      </c>
      <c r="H2455" s="4" t="str">
        <f>""</f>
        <v/>
      </c>
      <c r="I2455" s="4" t="str">
        <f>""</f>
        <v/>
      </c>
    </row>
    <row r="2456" spans="1:9" x14ac:dyDescent="0.3">
      <c r="A2456" s="1" t="str">
        <f>"64"</f>
        <v>64</v>
      </c>
      <c r="B2456" s="4" t="str">
        <f>"PHILIPPE RUBIO SAS"</f>
        <v>PHILIPPE RUBIO SAS</v>
      </c>
      <c r="C2456" s="4">
        <v>309160828</v>
      </c>
      <c r="D2456" s="3" t="s">
        <v>0</v>
      </c>
      <c r="E2456" s="2" t="str">
        <f>"PR6400001D"</f>
        <v>PR6400001D</v>
      </c>
      <c r="F2456" s="5">
        <v>43446</v>
      </c>
      <c r="G2456" s="5">
        <v>54789</v>
      </c>
      <c r="H2456" s="4" t="str">
        <f>""</f>
        <v/>
      </c>
      <c r="I2456" s="4" t="str">
        <f>""</f>
        <v/>
      </c>
    </row>
    <row r="2457" spans="1:9" x14ac:dyDescent="0.3">
      <c r="A2457" s="1" t="str">
        <f>"64"</f>
        <v>64</v>
      </c>
      <c r="B2457" s="4" t="str">
        <f>"PHILIPPE RUBIO SAS"</f>
        <v>PHILIPPE RUBIO SAS</v>
      </c>
      <c r="C2457" s="4">
        <v>309160828</v>
      </c>
      <c r="D2457" s="3" t="s">
        <v>0</v>
      </c>
      <c r="E2457" s="2" t="str">
        <f>"0005205235"</f>
        <v>0005205235</v>
      </c>
      <c r="F2457" s="5">
        <v>27135</v>
      </c>
      <c r="G2457" s="5">
        <v>54789</v>
      </c>
      <c r="H2457" s="4" t="str">
        <f>""</f>
        <v/>
      </c>
      <c r="I2457" s="4" t="str">
        <f>""</f>
        <v/>
      </c>
    </row>
    <row r="2458" spans="1:9" x14ac:dyDescent="0.3">
      <c r="A2458" s="1" t="str">
        <f>"64"</f>
        <v>64</v>
      </c>
      <c r="B2458" s="4" t="str">
        <f>"PHILIPPE RUBIO SAS"</f>
        <v>PHILIPPE RUBIO SAS</v>
      </c>
      <c r="C2458" s="4">
        <v>309160828</v>
      </c>
      <c r="D2458" s="3" t="s">
        <v>0</v>
      </c>
      <c r="E2458" s="2" t="str">
        <f>"PR6400003D"</f>
        <v>PR6400003D</v>
      </c>
      <c r="F2458" s="5">
        <v>38859</v>
      </c>
      <c r="G2458" s="5">
        <v>54789</v>
      </c>
      <c r="H2458" s="4" t="str">
        <f>""</f>
        <v/>
      </c>
      <c r="I2458" s="4" t="str">
        <f>""</f>
        <v/>
      </c>
    </row>
    <row r="2459" spans="1:9" x14ac:dyDescent="0.3">
      <c r="A2459" s="1" t="str">
        <f>"64"</f>
        <v>64</v>
      </c>
      <c r="B2459" s="4" t="str">
        <f>"PHILIPPE RUBIO SAS"</f>
        <v>PHILIPPE RUBIO SAS</v>
      </c>
      <c r="C2459" s="4">
        <v>309160828</v>
      </c>
      <c r="D2459" s="3" t="s">
        <v>0</v>
      </c>
      <c r="E2459" s="2" t="str">
        <f>"0005202654"</f>
        <v>0005202654</v>
      </c>
      <c r="F2459" s="5">
        <v>43446</v>
      </c>
      <c r="G2459" s="5">
        <v>54789</v>
      </c>
      <c r="H2459" s="4" t="str">
        <f>""</f>
        <v/>
      </c>
      <c r="I2459" s="4" t="str">
        <f>""</f>
        <v/>
      </c>
    </row>
    <row r="2460" spans="1:9" x14ac:dyDescent="0.3">
      <c r="A2460" s="1" t="str">
        <f>"64"</f>
        <v>64</v>
      </c>
      <c r="B2460" s="4" t="str">
        <f>"ETABLISSEMENTS PRIEUR"</f>
        <v>ETABLISSEMENTS PRIEUR</v>
      </c>
      <c r="C2460" s="4">
        <v>315311712</v>
      </c>
      <c r="D2460" s="3" t="s">
        <v>0</v>
      </c>
      <c r="E2460" s="2" t="str">
        <f>"PR6400002D"</f>
        <v>PR6400002D</v>
      </c>
      <c r="F2460" s="5">
        <v>43159</v>
      </c>
      <c r="G2460" s="5">
        <v>54789</v>
      </c>
      <c r="H2460" s="4" t="str">
        <f>""</f>
        <v/>
      </c>
      <c r="I2460" s="4" t="str">
        <f>""</f>
        <v/>
      </c>
    </row>
    <row r="2461" spans="1:9" x14ac:dyDescent="0.3">
      <c r="A2461" s="1" t="str">
        <f>"64"</f>
        <v>64</v>
      </c>
      <c r="B2461" s="4" t="str">
        <f>"ETABLISSEMENTS PRIEUR"</f>
        <v>ETABLISSEMENTS PRIEUR</v>
      </c>
      <c r="C2461" s="4">
        <v>315311712</v>
      </c>
      <c r="D2461" s="3" t="s">
        <v>0</v>
      </c>
      <c r="E2461" s="2" t="str">
        <f>"0005202355"</f>
        <v>0005202355</v>
      </c>
      <c r="F2461" s="5">
        <v>43159</v>
      </c>
      <c r="G2461" s="5">
        <v>54789</v>
      </c>
      <c r="H2461" s="4" t="str">
        <f>""</f>
        <v/>
      </c>
      <c r="I2461" s="4" t="str">
        <f>""</f>
        <v/>
      </c>
    </row>
    <row r="2462" spans="1:9" x14ac:dyDescent="0.3">
      <c r="A2462" s="1" t="str">
        <f>"64"</f>
        <v>64</v>
      </c>
      <c r="B2462" s="4" t="str">
        <f>"SARL HOURQUET ET FILS"</f>
        <v>SARL HOURQUET ET FILS</v>
      </c>
      <c r="C2462" s="4">
        <v>332147305</v>
      </c>
      <c r="D2462" s="3" t="s">
        <v>0</v>
      </c>
      <c r="E2462" s="2" t="str">
        <f>"PR6400023D"</f>
        <v>PR6400023D</v>
      </c>
      <c r="F2462" s="5">
        <v>41974</v>
      </c>
      <c r="G2462" s="5">
        <v>54789</v>
      </c>
      <c r="H2462" s="4" t="str">
        <f>""</f>
        <v/>
      </c>
      <c r="I2462" s="4" t="str">
        <f>""</f>
        <v/>
      </c>
    </row>
    <row r="2463" spans="1:9" x14ac:dyDescent="0.3">
      <c r="A2463" s="1" t="str">
        <f>"64"</f>
        <v>64</v>
      </c>
      <c r="B2463" s="4" t="str">
        <f>"CDA COTE BASQUE"</f>
        <v>CDA COTE BASQUE</v>
      </c>
      <c r="C2463" s="4">
        <v>342778669</v>
      </c>
      <c r="D2463" s="3" t="s">
        <v>0</v>
      </c>
      <c r="E2463" s="2" t="str">
        <f>"PR6400013D"</f>
        <v>PR6400013D</v>
      </c>
      <c r="F2463" s="5">
        <v>41304</v>
      </c>
      <c r="G2463" s="5">
        <v>54789</v>
      </c>
      <c r="H2463" s="4" t="str">
        <f>""</f>
        <v/>
      </c>
      <c r="I2463" s="4" t="str">
        <f>""</f>
        <v/>
      </c>
    </row>
    <row r="2464" spans="1:9" x14ac:dyDescent="0.3">
      <c r="A2464" s="1" t="str">
        <f>"64"</f>
        <v>64</v>
      </c>
      <c r="B2464" s="4" t="str">
        <f>"CDA COTE BASQUE"</f>
        <v>CDA COTE BASQUE</v>
      </c>
      <c r="C2464" s="4">
        <v>342778669</v>
      </c>
      <c r="D2464" s="3" t="s">
        <v>0</v>
      </c>
      <c r="E2464" s="2" t="str">
        <f>"0005202353"</f>
        <v>0005202353</v>
      </c>
      <c r="F2464" s="5">
        <v>43326</v>
      </c>
      <c r="G2464" s="5">
        <v>54789</v>
      </c>
      <c r="H2464" s="4" t="str">
        <f>""</f>
        <v/>
      </c>
      <c r="I2464" s="4" t="str">
        <f>""</f>
        <v/>
      </c>
    </row>
    <row r="2465" spans="1:9" x14ac:dyDescent="0.3">
      <c r="A2465" s="1" t="str">
        <f>"64"</f>
        <v>64</v>
      </c>
      <c r="B2465" s="4" t="str">
        <f>"SAE ALBERDI"</f>
        <v>SAE ALBERDI</v>
      </c>
      <c r="C2465" s="4">
        <v>344259973</v>
      </c>
      <c r="D2465" s="3" t="s">
        <v>0</v>
      </c>
      <c r="E2465" s="2" t="str">
        <f>"PR6400007D"</f>
        <v>PR6400007D</v>
      </c>
      <c r="F2465" s="5">
        <v>43299</v>
      </c>
      <c r="G2465" s="5">
        <v>54789</v>
      </c>
      <c r="H2465" s="4" t="str">
        <f>""</f>
        <v/>
      </c>
      <c r="I2465" s="4" t="str">
        <f>""</f>
        <v/>
      </c>
    </row>
    <row r="2466" spans="1:9" x14ac:dyDescent="0.3">
      <c r="A2466" s="1" t="str">
        <f>"64"</f>
        <v>64</v>
      </c>
      <c r="B2466" s="4" t="str">
        <f>"SAE ALBERDI"</f>
        <v>SAE ALBERDI</v>
      </c>
      <c r="C2466" s="4">
        <v>344259973</v>
      </c>
      <c r="D2466" s="3" t="s">
        <v>0</v>
      </c>
      <c r="E2466" s="2" t="str">
        <f>"PR6400008D"</f>
        <v>PR6400008D</v>
      </c>
      <c r="F2466" s="5">
        <v>43299</v>
      </c>
      <c r="G2466" s="5">
        <v>54789</v>
      </c>
      <c r="H2466" s="4" t="str">
        <f>""</f>
        <v/>
      </c>
      <c r="I2466" s="4" t="str">
        <f>""</f>
        <v/>
      </c>
    </row>
    <row r="2467" spans="1:9" x14ac:dyDescent="0.3">
      <c r="A2467" s="1" t="str">
        <f>"64"</f>
        <v>64</v>
      </c>
      <c r="B2467" s="4" t="str">
        <f>"SOCIETE D'EXPLOITATION ALBERDI"</f>
        <v>SOCIETE D'EXPLOITATION ALBERDI</v>
      </c>
      <c r="C2467" s="4">
        <v>344259973</v>
      </c>
      <c r="D2467" s="3" t="s">
        <v>0</v>
      </c>
      <c r="E2467" s="2" t="str">
        <f>"PR6400009D"</f>
        <v>PR6400009D</v>
      </c>
      <c r="F2467" s="5">
        <v>43299</v>
      </c>
      <c r="G2467" s="5">
        <v>54789</v>
      </c>
      <c r="H2467" s="4" t="str">
        <f>""</f>
        <v/>
      </c>
      <c r="I2467" s="4" t="str">
        <f>""</f>
        <v/>
      </c>
    </row>
    <row r="2468" spans="1:9" x14ac:dyDescent="0.3">
      <c r="A2468" s="1" t="str">
        <f>"64"</f>
        <v>64</v>
      </c>
      <c r="B2468" s="4" t="str">
        <f>"SAE ALBERDI"</f>
        <v>SAE ALBERDI</v>
      </c>
      <c r="C2468" s="4">
        <v>344259973</v>
      </c>
      <c r="D2468" s="3" t="s">
        <v>0</v>
      </c>
      <c r="E2468" s="2" t="str">
        <f>"0005202498"</f>
        <v>0005202498</v>
      </c>
      <c r="F2468" s="5">
        <v>43299</v>
      </c>
      <c r="G2468" s="5">
        <v>54789</v>
      </c>
      <c r="H2468" s="4" t="str">
        <f>""</f>
        <v/>
      </c>
      <c r="I2468" s="4" t="str">
        <f>""</f>
        <v/>
      </c>
    </row>
    <row r="2469" spans="1:9" x14ac:dyDescent="0.3">
      <c r="A2469" s="1" t="str">
        <f>"64"</f>
        <v>64</v>
      </c>
      <c r="B2469" s="4" t="str">
        <f>"SOCIETE D'EXPLOITATION ALBERDI"</f>
        <v>SOCIETE D'EXPLOITATION ALBERDI</v>
      </c>
      <c r="C2469" s="4">
        <v>344259973</v>
      </c>
      <c r="D2469" s="3" t="s">
        <v>0</v>
      </c>
      <c r="E2469" s="2" t="str">
        <f>"0005205309"</f>
        <v>0005205309</v>
      </c>
      <c r="F2469" s="5">
        <v>43299</v>
      </c>
      <c r="G2469" s="5">
        <v>54789</v>
      </c>
      <c r="H2469" s="4" t="str">
        <f>""</f>
        <v/>
      </c>
      <c r="I2469" s="4" t="str">
        <f>""</f>
        <v/>
      </c>
    </row>
    <row r="2470" spans="1:9" x14ac:dyDescent="0.3">
      <c r="A2470" s="1" t="str">
        <f>"64"</f>
        <v>64</v>
      </c>
      <c r="B2470" s="4" t="str">
        <f>"SAE ALBERDI"</f>
        <v>SAE ALBERDI</v>
      </c>
      <c r="C2470" s="4">
        <v>344259973</v>
      </c>
      <c r="D2470" s="3" t="s">
        <v>0</v>
      </c>
      <c r="E2470" s="2" t="str">
        <f>"0005207882"</f>
        <v>0005207882</v>
      </c>
      <c r="F2470" s="5">
        <v>31068</v>
      </c>
      <c r="G2470" s="5">
        <v>54789</v>
      </c>
      <c r="H2470" s="4" t="str">
        <f>""</f>
        <v/>
      </c>
      <c r="I2470" s="4" t="str">
        <f>""</f>
        <v/>
      </c>
    </row>
    <row r="2471" spans="1:9" x14ac:dyDescent="0.3">
      <c r="A2471" s="1" t="str">
        <f>"64"</f>
        <v>64</v>
      </c>
      <c r="B2471" s="4" t="str">
        <f>"TILT AUTO"</f>
        <v>TILT AUTO</v>
      </c>
      <c r="C2471" s="4">
        <v>344821343</v>
      </c>
      <c r="D2471" s="3" t="s">
        <v>0</v>
      </c>
      <c r="E2471" s="2" t="str">
        <f>"0005202521"</f>
        <v>0005202521</v>
      </c>
      <c r="F2471" s="5">
        <v>42325</v>
      </c>
      <c r="G2471" s="5">
        <v>54789</v>
      </c>
      <c r="H2471" s="4" t="str">
        <f>""</f>
        <v/>
      </c>
      <c r="I2471" s="4" t="str">
        <f>""</f>
        <v/>
      </c>
    </row>
    <row r="2472" spans="1:9" x14ac:dyDescent="0.3">
      <c r="A2472" s="1" t="str">
        <f>"64"</f>
        <v>64</v>
      </c>
      <c r="B2472" s="4" t="str">
        <f>"AFM RECYCLAGE"</f>
        <v>AFM RECYCLAGE</v>
      </c>
      <c r="C2472" s="4">
        <v>383482635</v>
      </c>
      <c r="D2472" s="3" t="s">
        <v>0</v>
      </c>
      <c r="E2472" s="2" t="str">
        <f>"PR6400006D"</f>
        <v>PR6400006D</v>
      </c>
      <c r="F2472" s="5">
        <v>38867</v>
      </c>
      <c r="G2472" s="5">
        <v>54789</v>
      </c>
      <c r="H2472" s="4" t="str">
        <f>""</f>
        <v/>
      </c>
      <c r="I2472" s="4" t="str">
        <f>""</f>
        <v/>
      </c>
    </row>
    <row r="2473" spans="1:9" x14ac:dyDescent="0.3">
      <c r="A2473" s="1" t="str">
        <f>"64"</f>
        <v>64</v>
      </c>
      <c r="B2473" s="4" t="str">
        <f>"AFM RECYCLAGE"</f>
        <v>AFM RECYCLAGE</v>
      </c>
      <c r="C2473" s="4">
        <v>383482635</v>
      </c>
      <c r="D2473" s="3" t="s">
        <v>0</v>
      </c>
      <c r="E2473" s="2" t="str">
        <f>"0005202451"</f>
        <v>0005202451</v>
      </c>
      <c r="F2473" s="5">
        <v>43552</v>
      </c>
      <c r="G2473" s="5">
        <v>54789</v>
      </c>
      <c r="H2473" s="4" t="str">
        <f>""</f>
        <v/>
      </c>
      <c r="I2473" s="4" t="str">
        <f>""</f>
        <v/>
      </c>
    </row>
    <row r="2474" spans="1:9" x14ac:dyDescent="0.3">
      <c r="A2474" s="1" t="str">
        <f>"64"</f>
        <v>64</v>
      </c>
      <c r="B2474" s="4" t="str">
        <f>"AFM RECYCLAGE"</f>
        <v>AFM RECYCLAGE</v>
      </c>
      <c r="C2474" s="4">
        <v>383482635</v>
      </c>
      <c r="D2474" s="3" t="s">
        <v>0</v>
      </c>
      <c r="E2474" s="2" t="str">
        <f>"PR6400006D"</f>
        <v>PR6400006D</v>
      </c>
      <c r="F2474" s="5">
        <v>38867</v>
      </c>
      <c r="G2474" s="5">
        <v>54789</v>
      </c>
      <c r="H2474" s="4" t="str">
        <f>""</f>
        <v/>
      </c>
      <c r="I2474" s="4" t="str">
        <f>""</f>
        <v/>
      </c>
    </row>
    <row r="2475" spans="1:9" x14ac:dyDescent="0.3">
      <c r="A2475" s="1" t="str">
        <f>"64"</f>
        <v>64</v>
      </c>
      <c r="B2475" s="4" t="str">
        <f>"AFM RECYCLAGE"</f>
        <v>AFM RECYCLAGE</v>
      </c>
      <c r="C2475" s="4">
        <v>383482635</v>
      </c>
      <c r="D2475" s="3" t="s">
        <v>0</v>
      </c>
      <c r="E2475" s="2" t="str">
        <f>"PR6400017D"</f>
        <v>PR6400017D</v>
      </c>
      <c r="F2475" s="5">
        <v>43556</v>
      </c>
      <c r="G2475" s="5">
        <v>54789</v>
      </c>
      <c r="H2475" s="4" t="str">
        <f>""</f>
        <v/>
      </c>
      <c r="I2475" s="4" t="str">
        <f>""</f>
        <v/>
      </c>
    </row>
    <row r="2476" spans="1:9" x14ac:dyDescent="0.3">
      <c r="A2476" s="1" t="str">
        <f>"64"</f>
        <v>64</v>
      </c>
      <c r="B2476" s="4" t="str">
        <f>"AFM RECYCLAGE"</f>
        <v>AFM RECYCLAGE</v>
      </c>
      <c r="C2476" s="4">
        <v>383482635</v>
      </c>
      <c r="D2476" s="3" t="s">
        <v>0</v>
      </c>
      <c r="E2476" s="2" t="str">
        <f>"0005207807"</f>
        <v>0005207807</v>
      </c>
      <c r="F2476" s="5">
        <v>43255</v>
      </c>
      <c r="G2476" s="5">
        <v>54789</v>
      </c>
      <c r="H2476" s="4" t="str">
        <f>""</f>
        <v/>
      </c>
      <c r="I2476" s="4" t="str">
        <f>""</f>
        <v/>
      </c>
    </row>
    <row r="2477" spans="1:9" x14ac:dyDescent="0.3">
      <c r="A2477" s="1" t="str">
        <f>"64"</f>
        <v>64</v>
      </c>
      <c r="B2477" s="4" t="str">
        <f>"SAS SADT"</f>
        <v>SAS SADT</v>
      </c>
      <c r="C2477" s="4">
        <v>399528074</v>
      </c>
      <c r="D2477" s="3" t="s">
        <v>0</v>
      </c>
      <c r="E2477" s="2" t="str">
        <f>"PR6400018D"</f>
        <v>PR6400018D</v>
      </c>
      <c r="F2477" s="5">
        <v>38985</v>
      </c>
      <c r="G2477" s="5">
        <v>54789</v>
      </c>
      <c r="H2477" s="4" t="str">
        <f>""</f>
        <v/>
      </c>
      <c r="I2477" s="4" t="str">
        <f>""</f>
        <v/>
      </c>
    </row>
    <row r="2478" spans="1:9" x14ac:dyDescent="0.3">
      <c r="A2478" s="1" t="str">
        <f>"64"</f>
        <v>64</v>
      </c>
      <c r="B2478" s="4" t="str">
        <f>"SAS SADT"</f>
        <v>SAS SADT</v>
      </c>
      <c r="C2478" s="4">
        <v>399528074</v>
      </c>
      <c r="D2478" s="3" t="s">
        <v>0</v>
      </c>
      <c r="E2478" s="2" t="str">
        <f>"0005206936"</f>
        <v>0005206936</v>
      </c>
      <c r="F2478" s="5">
        <v>43326</v>
      </c>
      <c r="G2478" s="5">
        <v>54789</v>
      </c>
      <c r="H2478" s="4" t="str">
        <f>""</f>
        <v/>
      </c>
      <c r="I2478" s="4" t="str">
        <f>""</f>
        <v/>
      </c>
    </row>
    <row r="2479" spans="1:9" x14ac:dyDescent="0.3">
      <c r="A2479" s="1" t="str">
        <f>"64"</f>
        <v>64</v>
      </c>
      <c r="B2479" s="4" t="str">
        <f>"ETABLISSEMENTS FREIRE DE AMORIN"</f>
        <v>ETABLISSEMENTS FREIRE DE AMORIN</v>
      </c>
      <c r="C2479" s="4">
        <v>412783656</v>
      </c>
      <c r="D2479" s="3" t="s">
        <v>0</v>
      </c>
      <c r="E2479" s="2" t="str">
        <f>"PR6400015D"</f>
        <v>PR6400015D</v>
      </c>
      <c r="F2479" s="5">
        <v>38988</v>
      </c>
      <c r="G2479" s="5">
        <v>54789</v>
      </c>
      <c r="H2479" s="4" t="str">
        <f>""</f>
        <v/>
      </c>
      <c r="I2479" s="4" t="str">
        <f>""</f>
        <v/>
      </c>
    </row>
    <row r="2480" spans="1:9" x14ac:dyDescent="0.3">
      <c r="A2480" s="1" t="str">
        <f>"64"</f>
        <v>64</v>
      </c>
      <c r="B2480" s="4" t="str">
        <f>"ETABLISSEMENTS FREIRE DE AMORIN"</f>
        <v>ETABLISSEMENTS FREIRE DE AMORIN</v>
      </c>
      <c r="C2480" s="4">
        <v>412783656</v>
      </c>
      <c r="D2480" s="3" t="s">
        <v>0</v>
      </c>
      <c r="E2480" s="2" t="str">
        <f>"0005202487"</f>
        <v>0005202487</v>
      </c>
      <c r="F2480" s="5">
        <v>43326</v>
      </c>
      <c r="G2480" s="5">
        <v>54789</v>
      </c>
      <c r="H2480" s="4" t="str">
        <f>""</f>
        <v/>
      </c>
      <c r="I2480" s="4" t="str">
        <f>""</f>
        <v/>
      </c>
    </row>
    <row r="2481" spans="1:9" x14ac:dyDescent="0.3">
      <c r="A2481" s="1" t="str">
        <f>"64"</f>
        <v>64</v>
      </c>
      <c r="B2481" s="4" t="str">
        <f>"TILT AUTO"</f>
        <v>TILT AUTO</v>
      </c>
      <c r="C2481" s="4">
        <v>418932075</v>
      </c>
      <c r="D2481" s="3" t="s">
        <v>0</v>
      </c>
      <c r="E2481" s="2" t="str">
        <f>"PR64000023D"</f>
        <v>PR64000023D</v>
      </c>
      <c r="F2481" s="5">
        <v>42325</v>
      </c>
      <c r="G2481" s="5">
        <v>54789</v>
      </c>
      <c r="H2481" s="4" t="str">
        <f>""</f>
        <v/>
      </c>
      <c r="I2481" s="4" t="str">
        <f>""</f>
        <v/>
      </c>
    </row>
    <row r="2482" spans="1:9" x14ac:dyDescent="0.3">
      <c r="A2482" s="1" t="str">
        <f>"64"</f>
        <v>64</v>
      </c>
      <c r="B2482" s="4" t="str">
        <f>"SOC INDUSTRIELLE RECUP METAUX"</f>
        <v>SOC INDUSTRIELLE RECUP METAUX</v>
      </c>
      <c r="C2482" s="4">
        <v>432383321</v>
      </c>
      <c r="D2482" s="3" t="s">
        <v>0</v>
      </c>
      <c r="E2482" s="2" t="str">
        <f>"PR6400020D"</f>
        <v>PR6400020D</v>
      </c>
      <c r="F2482" s="5">
        <v>45146</v>
      </c>
      <c r="G2482" s="5">
        <v>54789</v>
      </c>
      <c r="H2482" s="4" t="str">
        <f>""</f>
        <v/>
      </c>
      <c r="I2482" s="4" t="str">
        <f>""</f>
        <v/>
      </c>
    </row>
    <row r="2483" spans="1:9" x14ac:dyDescent="0.3">
      <c r="A2483" s="1" t="str">
        <f>"64"</f>
        <v>64</v>
      </c>
      <c r="B2483" s="4" t="str">
        <f>"SOC INDUSTRIELLE RECUP METAUX"</f>
        <v>SOC INDUSTRIELLE RECUP METAUX</v>
      </c>
      <c r="C2483" s="4">
        <v>432383321</v>
      </c>
      <c r="D2483" s="3" t="s">
        <v>0</v>
      </c>
      <c r="E2483" s="2" t="str">
        <f>"0005211599"</f>
        <v>0005211599</v>
      </c>
      <c r="F2483" s="5">
        <v>44515</v>
      </c>
      <c r="G2483" s="5">
        <v>54789</v>
      </c>
      <c r="H2483" s="4" t="str">
        <f>""</f>
        <v/>
      </c>
      <c r="I2483" s="4" t="str">
        <f>""</f>
        <v/>
      </c>
    </row>
    <row r="2484" spans="1:9" x14ac:dyDescent="0.3">
      <c r="A2484" s="1" t="str">
        <f>"64"</f>
        <v>64</v>
      </c>
      <c r="B2484" s="4" t="str">
        <f>"SOC INDUSTRIELLE RECUP METAUX"</f>
        <v>SOC INDUSTRIELLE RECUP METAUX</v>
      </c>
      <c r="C2484" s="4">
        <v>432383321</v>
      </c>
      <c r="D2484" s="3" t="s">
        <v>0</v>
      </c>
      <c r="E2484" s="2" t="str">
        <f>"PR6400025D"</f>
        <v>PR6400025D</v>
      </c>
      <c r="F2484" s="5">
        <v>45146</v>
      </c>
      <c r="G2484" s="5">
        <v>54789</v>
      </c>
      <c r="H2484" s="4" t="str">
        <f>""</f>
        <v/>
      </c>
      <c r="I2484" s="4" t="str">
        <f>""</f>
        <v/>
      </c>
    </row>
    <row r="2485" spans="1:9" x14ac:dyDescent="0.3">
      <c r="A2485" s="1" t="str">
        <f>"64"</f>
        <v>64</v>
      </c>
      <c r="B2485" s="4" t="str">
        <f>"SOC INDUSTRIELLE RECUP METAUX"</f>
        <v>SOC INDUSTRIELLE RECUP METAUX</v>
      </c>
      <c r="C2485" s="4">
        <v>432383321</v>
      </c>
      <c r="D2485" s="3" t="s">
        <v>0</v>
      </c>
      <c r="E2485" s="2" t="str">
        <f>"0005202775"</f>
        <v>0005202775</v>
      </c>
      <c r="F2485" s="5">
        <v>40436</v>
      </c>
      <c r="G2485" s="5">
        <v>54789</v>
      </c>
      <c r="H2485" s="4" t="str">
        <f>""</f>
        <v/>
      </c>
      <c r="I2485" s="4" t="str">
        <f>""</f>
        <v/>
      </c>
    </row>
    <row r="2486" spans="1:9" x14ac:dyDescent="0.3">
      <c r="A2486" s="1" t="str">
        <f>"64"</f>
        <v>64</v>
      </c>
      <c r="B2486" s="4" t="str">
        <f>"ARRASCLES"</f>
        <v>ARRASCLES</v>
      </c>
      <c r="C2486" s="4">
        <v>481786077</v>
      </c>
      <c r="D2486" s="3" t="s">
        <v>0</v>
      </c>
      <c r="E2486" s="2" t="str">
        <f>"PR64000024D"</f>
        <v>PR64000024D</v>
      </c>
      <c r="F2486" s="5">
        <v>42325</v>
      </c>
      <c r="G2486" s="5">
        <v>54789</v>
      </c>
      <c r="H2486" s="4" t="str">
        <f>""</f>
        <v/>
      </c>
      <c r="I2486" s="4" t="str">
        <f>""</f>
        <v/>
      </c>
    </row>
    <row r="2487" spans="1:9" x14ac:dyDescent="0.3">
      <c r="A2487" s="1" t="str">
        <f>"64"</f>
        <v>64</v>
      </c>
      <c r="B2487" s="4" t="str">
        <f>"JOSEPH ARRASCLES ENVIRONNEMENT"</f>
        <v>JOSEPH ARRASCLES ENVIRONNEMENT</v>
      </c>
      <c r="C2487" s="4">
        <v>481786077</v>
      </c>
      <c r="D2487" s="3" t="s">
        <v>0</v>
      </c>
      <c r="E2487" s="2" t="str">
        <f>"0005212397"</f>
        <v>0005212397</v>
      </c>
      <c r="F2487" s="5">
        <v>42352</v>
      </c>
      <c r="G2487" s="5">
        <v>54789</v>
      </c>
      <c r="H2487" s="4" t="str">
        <f>""</f>
        <v/>
      </c>
      <c r="I2487" s="4" t="str">
        <f>""</f>
        <v/>
      </c>
    </row>
    <row r="2488" spans="1:9" x14ac:dyDescent="0.3">
      <c r="A2488" s="1" t="str">
        <f>"64"</f>
        <v>64</v>
      </c>
      <c r="B2488" s="4" t="str">
        <f>"SARL LACQ'AS"</f>
        <v>SARL LACQ'AS</v>
      </c>
      <c r="C2488" s="4">
        <v>498457787</v>
      </c>
      <c r="D2488" s="3" t="s">
        <v>0</v>
      </c>
      <c r="E2488" s="2" t="str">
        <f>"PR64000022D"</f>
        <v>PR64000022D</v>
      </c>
      <c r="F2488" s="5">
        <v>40634</v>
      </c>
      <c r="G2488" s="5">
        <v>54789</v>
      </c>
      <c r="H2488" s="4" t="str">
        <f>""</f>
        <v/>
      </c>
      <c r="I2488" s="4" t="str">
        <f>""</f>
        <v/>
      </c>
    </row>
    <row r="2489" spans="1:9" x14ac:dyDescent="0.3">
      <c r="A2489" s="1" t="str">
        <f>"64"</f>
        <v>64</v>
      </c>
      <c r="B2489" s="4" t="str">
        <f>"SARL LACQ'AS"</f>
        <v>SARL LACQ'AS</v>
      </c>
      <c r="C2489" s="4">
        <v>498457787</v>
      </c>
      <c r="D2489" s="3" t="s">
        <v>0</v>
      </c>
      <c r="E2489" s="2" t="str">
        <f>"0005202608"</f>
        <v>0005202608</v>
      </c>
      <c r="F2489" s="5">
        <v>33078</v>
      </c>
      <c r="G2489" s="5">
        <v>54789</v>
      </c>
      <c r="H2489" s="4" t="str">
        <f>""</f>
        <v/>
      </c>
      <c r="I2489" s="4" t="str">
        <f>""</f>
        <v/>
      </c>
    </row>
    <row r="2490" spans="1:9" x14ac:dyDescent="0.3">
      <c r="A2490" s="1" t="str">
        <f>"64"</f>
        <v>64</v>
      </c>
      <c r="B2490" s="4" t="str">
        <f>"LACQ?AS"</f>
        <v>LACQ?AS</v>
      </c>
      <c r="C2490" s="4">
        <v>498457787</v>
      </c>
      <c r="D2490" s="3" t="s">
        <v>0</v>
      </c>
      <c r="E2490" s="2" t="str">
        <f>"PR6400022D"</f>
        <v>PR6400022D</v>
      </c>
      <c r="F2490" s="5">
        <v>40634</v>
      </c>
      <c r="G2490" s="5">
        <v>54789</v>
      </c>
      <c r="H2490" s="4" t="str">
        <f>""</f>
        <v/>
      </c>
      <c r="I2490" s="4" t="str">
        <f>""</f>
        <v/>
      </c>
    </row>
    <row r="2491" spans="1:9" x14ac:dyDescent="0.3">
      <c r="A2491" s="1" t="str">
        <f>"64"</f>
        <v>64</v>
      </c>
      <c r="B2491" s="4" t="str">
        <f>"AUTO CASSE DU LABOURD"</f>
        <v>AUTO CASSE DU LABOURD</v>
      </c>
      <c r="C2491" s="4">
        <v>523990620</v>
      </c>
      <c r="D2491" s="3" t="s">
        <v>0</v>
      </c>
      <c r="E2491" s="2" t="str">
        <f>"PR6400010D"</f>
        <v>PR6400010D</v>
      </c>
      <c r="F2491" s="5">
        <v>41191</v>
      </c>
      <c r="G2491" s="5">
        <v>54789</v>
      </c>
      <c r="H2491" s="4" t="str">
        <f>""</f>
        <v/>
      </c>
      <c r="I2491" s="4" t="str">
        <f>""</f>
        <v/>
      </c>
    </row>
    <row r="2492" spans="1:9" x14ac:dyDescent="0.3">
      <c r="A2492" s="1" t="str">
        <f>"64"</f>
        <v>64</v>
      </c>
      <c r="B2492" s="4" t="str">
        <f>"AUTO CASSE DU LABOURD"</f>
        <v>AUTO CASSE DU LABOURD</v>
      </c>
      <c r="C2492" s="4">
        <v>523990620</v>
      </c>
      <c r="D2492" s="3" t="s">
        <v>0</v>
      </c>
      <c r="E2492" s="2" t="str">
        <f>"0005207863"</f>
        <v>0005207863</v>
      </c>
      <c r="F2492" s="5">
        <v>32183</v>
      </c>
      <c r="G2492" s="5">
        <v>54789</v>
      </c>
      <c r="H2492" s="4" t="str">
        <f>""</f>
        <v/>
      </c>
      <c r="I2492" s="4" t="str">
        <f>""</f>
        <v/>
      </c>
    </row>
    <row r="2493" spans="1:9" x14ac:dyDescent="0.3">
      <c r="A2493" s="1" t="str">
        <f>"64"</f>
        <v>64</v>
      </c>
      <c r="B2493" s="4" t="str">
        <f>"CASSE AUTO 933"</f>
        <v>CASSE AUTO 933</v>
      </c>
      <c r="C2493" s="4">
        <v>752737023</v>
      </c>
      <c r="D2493" s="3" t="s">
        <v>0</v>
      </c>
      <c r="E2493" s="2" t="str">
        <f>"0005207941"</f>
        <v>0005207941</v>
      </c>
      <c r="F2493" s="5">
        <v>43511</v>
      </c>
      <c r="G2493" s="5">
        <v>54789</v>
      </c>
      <c r="H2493" s="4" t="str">
        <f>""</f>
        <v/>
      </c>
      <c r="I2493" s="4" t="str">
        <f>""</f>
        <v/>
      </c>
    </row>
    <row r="2494" spans="1:9" x14ac:dyDescent="0.3">
      <c r="A2494" s="1" t="str">
        <f>"64"</f>
        <v>64</v>
      </c>
      <c r="B2494" s="4" t="str">
        <f>"CASSE AUTO 933"</f>
        <v>CASSE AUTO 933</v>
      </c>
      <c r="C2494" s="4">
        <v>752737023</v>
      </c>
      <c r="D2494" s="3" t="s">
        <v>0</v>
      </c>
      <c r="E2494" s="2" t="str">
        <f>"PR6400019D"</f>
        <v>PR6400019D</v>
      </c>
      <c r="F2494" s="5">
        <v>43511</v>
      </c>
      <c r="G2494" s="5">
        <v>54789</v>
      </c>
      <c r="H2494" s="4" t="str">
        <f>""</f>
        <v/>
      </c>
      <c r="I2494" s="4" t="str">
        <f>""</f>
        <v/>
      </c>
    </row>
    <row r="2495" spans="1:9" x14ac:dyDescent="0.3">
      <c r="A2495" s="1" t="str">
        <f>"64"</f>
        <v>64</v>
      </c>
      <c r="B2495" s="4" t="str">
        <f>"DECONS SUD AQUITAINE SAS"</f>
        <v>DECONS SUD AQUITAINE SAS</v>
      </c>
      <c r="C2495" s="4">
        <v>832209944</v>
      </c>
      <c r="D2495" s="3" t="s">
        <v>0</v>
      </c>
      <c r="E2495" s="2" t="str">
        <f>"PR6400012D"</f>
        <v>PR6400012D</v>
      </c>
      <c r="F2495" s="5">
        <v>43376</v>
      </c>
      <c r="G2495" s="5">
        <v>54789</v>
      </c>
      <c r="H2495" s="4" t="str">
        <f>""</f>
        <v/>
      </c>
      <c r="I2495" s="4" t="str">
        <f>""</f>
        <v/>
      </c>
    </row>
    <row r="2496" spans="1:9" x14ac:dyDescent="0.3">
      <c r="A2496" s="1" t="str">
        <f>"64"</f>
        <v>64</v>
      </c>
      <c r="B2496" s="4" t="str">
        <f>"DECONS SUD AQUITAINE SAS"</f>
        <v>DECONS SUD AQUITAINE SAS</v>
      </c>
      <c r="C2496" s="4">
        <v>832209944</v>
      </c>
      <c r="D2496" s="3" t="s">
        <v>0</v>
      </c>
      <c r="E2496" s="2" t="str">
        <f>"PR6400012D"</f>
        <v>PR6400012D</v>
      </c>
      <c r="F2496" s="5">
        <v>43376</v>
      </c>
      <c r="G2496" s="5">
        <v>54789</v>
      </c>
      <c r="H2496" s="4" t="str">
        <f>""</f>
        <v/>
      </c>
      <c r="I2496" s="4" t="str">
        <f>""</f>
        <v/>
      </c>
    </row>
    <row r="2497" spans="1:9" x14ac:dyDescent="0.3">
      <c r="A2497" s="1" t="str">
        <f>"64"</f>
        <v>64</v>
      </c>
      <c r="B2497" s="4" t="str">
        <f>"DECONS SUD AQUITAINE SAS"</f>
        <v>DECONS SUD AQUITAINE SAS</v>
      </c>
      <c r="C2497" s="4">
        <v>832209944</v>
      </c>
      <c r="D2497" s="3" t="s">
        <v>0</v>
      </c>
      <c r="E2497" s="2" t="str">
        <f>"0005202826"</f>
        <v>0005202826</v>
      </c>
      <c r="F2497" s="5">
        <v>43376</v>
      </c>
      <c r="G2497" s="5">
        <v>54789</v>
      </c>
      <c r="H2497" s="4" t="str">
        <f>""</f>
        <v/>
      </c>
      <c r="I2497" s="4" t="str">
        <f>""</f>
        <v/>
      </c>
    </row>
    <row r="2498" spans="1:9" x14ac:dyDescent="0.3">
      <c r="A2498" s="1" t="str">
        <f>"64"</f>
        <v>64</v>
      </c>
      <c r="B2498" s="4" t="str">
        <f>"ETS VIGNEAU CASS?AUTO 64"</f>
        <v>ETS VIGNEAU CASS?AUTO 64</v>
      </c>
      <c r="C2498" s="4">
        <v>834180143</v>
      </c>
      <c r="D2498" s="3" t="s">
        <v>0</v>
      </c>
      <c r="E2498" s="2" t="str">
        <f>"0005207875"</f>
        <v>0005207875</v>
      </c>
      <c r="F2498" s="5">
        <v>43298</v>
      </c>
      <c r="G2498" s="5">
        <v>54789</v>
      </c>
      <c r="H2498" s="4" t="str">
        <f>""</f>
        <v/>
      </c>
      <c r="I2498" s="4" t="str">
        <f>""</f>
        <v/>
      </c>
    </row>
    <row r="2499" spans="1:9" x14ac:dyDescent="0.3">
      <c r="A2499" s="1" t="str">
        <f>"64"</f>
        <v>64</v>
      </c>
      <c r="B2499" s="4" t="str">
        <f>"SARL ETS VIGNEAU CASS'AUTO 64"</f>
        <v>SARL ETS VIGNEAU CASS'AUTO 64</v>
      </c>
      <c r="C2499" s="4">
        <v>834180143</v>
      </c>
      <c r="D2499" s="3" t="s">
        <v>0</v>
      </c>
      <c r="E2499" s="2" t="str">
        <f>"PR6400011D"</f>
        <v>PR6400011D</v>
      </c>
      <c r="F2499" s="5">
        <v>43299</v>
      </c>
      <c r="G2499" s="5">
        <v>54789</v>
      </c>
      <c r="H2499" s="4" t="str">
        <f>""</f>
        <v/>
      </c>
      <c r="I2499" s="4" t="str">
        <f>""</f>
        <v/>
      </c>
    </row>
    <row r="2500" spans="1:9" x14ac:dyDescent="0.3">
      <c r="A2500" s="1" t="str">
        <f>"65"</f>
        <v>65</v>
      </c>
      <c r="B2500" s="4" t="str">
        <f>"PHILIPPE RUBIO SAS"</f>
        <v>PHILIPPE RUBIO SAS</v>
      </c>
      <c r="C2500" s="4">
        <v>309160828</v>
      </c>
      <c r="D2500" s="3" t="s">
        <v>0</v>
      </c>
      <c r="E2500" s="2" t="str">
        <f>"PR6500002D"</f>
        <v>PR6500002D</v>
      </c>
      <c r="F2500" s="5">
        <v>41078</v>
      </c>
      <c r="G2500" s="5">
        <v>54789</v>
      </c>
      <c r="H2500" s="4" t="str">
        <f>""</f>
        <v/>
      </c>
      <c r="I2500" s="4" t="str">
        <f>""</f>
        <v/>
      </c>
    </row>
    <row r="2501" spans="1:9" x14ac:dyDescent="0.3">
      <c r="A2501" s="1" t="str">
        <f>"65"</f>
        <v>65</v>
      </c>
      <c r="B2501" s="4" t="str">
        <f>"SA PHILIPPE RUBIO"</f>
        <v>SA PHILIPPE RUBIO</v>
      </c>
      <c r="C2501" s="4">
        <v>309160828</v>
      </c>
      <c r="D2501" s="3" t="s">
        <v>0</v>
      </c>
      <c r="E2501" s="2" t="str">
        <f>"0006803180"</f>
        <v>0006803180</v>
      </c>
      <c r="F2501" s="5">
        <v>41078</v>
      </c>
      <c r="G2501" s="5">
        <v>54789</v>
      </c>
      <c r="H2501" s="4" t="str">
        <f>""</f>
        <v/>
      </c>
      <c r="I2501" s="4" t="str">
        <f>""</f>
        <v/>
      </c>
    </row>
    <row r="2502" spans="1:9" x14ac:dyDescent="0.3">
      <c r="A2502" s="1" t="str">
        <f>"65"</f>
        <v>65</v>
      </c>
      <c r="B2502" s="4" t="str">
        <f>"SA AFM RECYCLAGE"</f>
        <v>SA AFM RECYCLAGE</v>
      </c>
      <c r="C2502" s="4">
        <v>383482635</v>
      </c>
      <c r="D2502" s="3" t="s">
        <v>0</v>
      </c>
      <c r="E2502" s="2" t="str">
        <f>"PR6500001D"</f>
        <v>PR6500001D</v>
      </c>
      <c r="F2502" s="5">
        <v>43528</v>
      </c>
      <c r="G2502" s="5">
        <v>54789</v>
      </c>
      <c r="H2502" s="4" t="str">
        <f>""</f>
        <v/>
      </c>
      <c r="I2502" s="4" t="str">
        <f>""</f>
        <v/>
      </c>
    </row>
    <row r="2503" spans="1:9" x14ac:dyDescent="0.3">
      <c r="A2503" s="1" t="str">
        <f>"65"</f>
        <v>65</v>
      </c>
      <c r="B2503" s="4" t="str">
        <f>"SA AFM RECYCLAGE"</f>
        <v>SA AFM RECYCLAGE</v>
      </c>
      <c r="C2503" s="4">
        <v>383482635</v>
      </c>
      <c r="D2503" s="3" t="s">
        <v>0</v>
      </c>
      <c r="E2503" s="2" t="str">
        <f>"0006803948"</f>
        <v>0006803948</v>
      </c>
      <c r="F2503" s="5">
        <v>43528</v>
      </c>
      <c r="G2503" s="5">
        <v>54789</v>
      </c>
      <c r="H2503" s="4" t="str">
        <f>""</f>
        <v/>
      </c>
      <c r="I2503" s="4" t="str">
        <f>""</f>
        <v/>
      </c>
    </row>
    <row r="2504" spans="1:9" x14ac:dyDescent="0.3">
      <c r="A2504" s="1" t="str">
        <f>"65"</f>
        <v>65</v>
      </c>
      <c r="B2504" s="4" t="str">
        <f>"SARL SCRATCH AUTO"</f>
        <v>SARL SCRATCH AUTO</v>
      </c>
      <c r="C2504" s="4">
        <v>388345936</v>
      </c>
      <c r="D2504" s="3" t="s">
        <v>0</v>
      </c>
      <c r="E2504" s="2" t="str">
        <f>"PR6500005D"</f>
        <v>PR6500005D</v>
      </c>
      <c r="F2504" s="5">
        <v>43833</v>
      </c>
      <c r="G2504" s="5">
        <v>54789</v>
      </c>
      <c r="H2504" s="4" t="str">
        <f>""</f>
        <v/>
      </c>
      <c r="I2504" s="4" t="str">
        <f>""</f>
        <v/>
      </c>
    </row>
    <row r="2505" spans="1:9" x14ac:dyDescent="0.3">
      <c r="A2505" s="1" t="str">
        <f>"65"</f>
        <v>65</v>
      </c>
      <c r="B2505" s="4" t="str">
        <f>"SARL SCRATCH AUTO"</f>
        <v>SARL SCRATCH AUTO</v>
      </c>
      <c r="C2505" s="4">
        <v>388345936</v>
      </c>
      <c r="D2505" s="3" t="s">
        <v>0</v>
      </c>
      <c r="E2505" s="2" t="str">
        <f>"0006802698"</f>
        <v>0006802698</v>
      </c>
      <c r="F2505" s="5">
        <v>43833</v>
      </c>
      <c r="G2505" s="5">
        <v>54789</v>
      </c>
      <c r="H2505" s="4" t="str">
        <f>""</f>
        <v/>
      </c>
      <c r="I2505" s="4" t="str">
        <f>""</f>
        <v/>
      </c>
    </row>
    <row r="2506" spans="1:9" x14ac:dyDescent="0.3">
      <c r="A2506" s="1" t="str">
        <f>"65"</f>
        <v>65</v>
      </c>
      <c r="B2506" s="4" t="str">
        <f>"SARL KIT AUTO"</f>
        <v>SARL KIT AUTO</v>
      </c>
      <c r="C2506" s="4">
        <v>439516311</v>
      </c>
      <c r="D2506" s="3" t="s">
        <v>0</v>
      </c>
      <c r="E2506" s="2" t="str">
        <f>"PR6500003D"</f>
        <v>PR6500003D</v>
      </c>
      <c r="F2506" s="5">
        <v>41093</v>
      </c>
      <c r="G2506" s="5">
        <v>54789</v>
      </c>
      <c r="H2506" s="4" t="str">
        <f>""</f>
        <v/>
      </c>
      <c r="I2506" s="4" t="str">
        <f>""</f>
        <v/>
      </c>
    </row>
    <row r="2507" spans="1:9" x14ac:dyDescent="0.3">
      <c r="A2507" s="1" t="str">
        <f>"65"</f>
        <v>65</v>
      </c>
      <c r="B2507" s="4" t="str">
        <f>"SARL KIT AUTO"</f>
        <v>SARL KIT AUTO</v>
      </c>
      <c r="C2507" s="4">
        <v>439516311</v>
      </c>
      <c r="D2507" s="3" t="s">
        <v>0</v>
      </c>
      <c r="E2507" s="2" t="str">
        <f>"0006804270"</f>
        <v>0006804270</v>
      </c>
      <c r="F2507" s="5">
        <v>41093</v>
      </c>
      <c r="G2507" s="5">
        <v>54789</v>
      </c>
      <c r="H2507" s="4" t="str">
        <f>""</f>
        <v/>
      </c>
      <c r="I2507" s="4" t="str">
        <f>""</f>
        <v/>
      </c>
    </row>
    <row r="2508" spans="1:9" x14ac:dyDescent="0.3">
      <c r="A2508" s="1" t="str">
        <f>"65"</f>
        <v>65</v>
      </c>
      <c r="B2508" s="4" t="str">
        <f>"SAS COMMINGUES METAUX SERVICES"</f>
        <v>SAS COMMINGUES METAUX SERVICES</v>
      </c>
      <c r="C2508" s="4">
        <v>480519032</v>
      </c>
      <c r="D2508" s="3" t="s">
        <v>0</v>
      </c>
      <c r="E2508" s="2" t="str">
        <f>"PR6500011D"</f>
        <v>PR6500011D</v>
      </c>
      <c r="F2508" s="5">
        <v>41948</v>
      </c>
      <c r="G2508" s="5">
        <v>54789</v>
      </c>
      <c r="H2508" s="4" t="str">
        <f>""</f>
        <v/>
      </c>
      <c r="I2508" s="4" t="str">
        <f>""</f>
        <v/>
      </c>
    </row>
    <row r="2509" spans="1:9" x14ac:dyDescent="0.3">
      <c r="A2509" s="1" t="str">
        <f>"65"</f>
        <v>65</v>
      </c>
      <c r="B2509" s="4" t="str">
        <f>"SAS COMMINGUES METAUX SERVICES"</f>
        <v>SAS COMMINGUES METAUX SERVICES</v>
      </c>
      <c r="C2509" s="4">
        <v>480519032</v>
      </c>
      <c r="D2509" s="3" t="s">
        <v>0</v>
      </c>
      <c r="E2509" s="2" t="str">
        <f>"0006803186"</f>
        <v>0006803186</v>
      </c>
      <c r="F2509" s="5">
        <v>41948</v>
      </c>
      <c r="G2509" s="5">
        <v>54789</v>
      </c>
      <c r="H2509" s="4" t="str">
        <f>""</f>
        <v/>
      </c>
      <c r="I2509" s="4" t="str">
        <f>""</f>
        <v/>
      </c>
    </row>
    <row r="2510" spans="1:9" x14ac:dyDescent="0.3">
      <c r="A2510" s="1" t="str">
        <f>"65"</f>
        <v>65</v>
      </c>
      <c r="B2510" s="4" t="str">
        <f>"ERIC MARTINEZ AUTO PUZZLE"</f>
        <v>ERIC MARTINEZ AUTO PUZZLE</v>
      </c>
      <c r="C2510" s="4">
        <v>813386745</v>
      </c>
      <c r="D2510" s="3" t="s">
        <v>0</v>
      </c>
      <c r="E2510" s="2" t="str">
        <f>"PR6500016D"</f>
        <v>PR6500016D</v>
      </c>
      <c r="F2510" s="5">
        <v>44747</v>
      </c>
      <c r="G2510" s="5">
        <v>54789</v>
      </c>
      <c r="H2510" s="4" t="str">
        <f>""</f>
        <v/>
      </c>
      <c r="I2510" s="4" t="str">
        <f>""</f>
        <v/>
      </c>
    </row>
    <row r="2511" spans="1:9" x14ac:dyDescent="0.3">
      <c r="A2511" s="1" t="str">
        <f>"65"</f>
        <v>65</v>
      </c>
      <c r="B2511" s="4" t="str">
        <f>"SARL LAND'AUTO"</f>
        <v>SARL LAND'AUTO</v>
      </c>
      <c r="C2511" s="4">
        <v>827628249</v>
      </c>
      <c r="D2511" s="3" t="s">
        <v>0</v>
      </c>
      <c r="E2511" s="2" t="str">
        <f>"PR6500015D"</f>
        <v>PR6500015D</v>
      </c>
      <c r="F2511" s="5">
        <v>43451</v>
      </c>
      <c r="G2511" s="5">
        <v>54789</v>
      </c>
      <c r="H2511" s="4" t="str">
        <f>""</f>
        <v/>
      </c>
      <c r="I2511" s="4" t="str">
        <f>""</f>
        <v/>
      </c>
    </row>
    <row r="2512" spans="1:9" x14ac:dyDescent="0.3">
      <c r="A2512" s="1" t="str">
        <f>"65"</f>
        <v>65</v>
      </c>
      <c r="B2512" s="4" t="str">
        <f>"SARL LAND'AUTO"</f>
        <v>SARL LAND'AUTO</v>
      </c>
      <c r="C2512" s="4">
        <v>827628249</v>
      </c>
      <c r="D2512" s="3" t="s">
        <v>0</v>
      </c>
      <c r="E2512" s="2" t="str">
        <f>"0006802683"</f>
        <v>0006802683</v>
      </c>
      <c r="F2512" s="5">
        <v>43451</v>
      </c>
      <c r="G2512" s="5">
        <v>54789</v>
      </c>
      <c r="H2512" s="4" t="str">
        <f>""</f>
        <v/>
      </c>
      <c r="I2512" s="4" t="str">
        <f>""</f>
        <v/>
      </c>
    </row>
    <row r="2513" spans="1:9" x14ac:dyDescent="0.3">
      <c r="A2513" s="1" t="str">
        <f>"65"</f>
        <v>65</v>
      </c>
      <c r="B2513" s="4" t="str">
        <f>"SAS DECONS SUD AQUITAINE"</f>
        <v>SAS DECONS SUD AQUITAINE</v>
      </c>
      <c r="C2513" s="4">
        <v>832209944</v>
      </c>
      <c r="D2513" s="3" t="s">
        <v>0</v>
      </c>
      <c r="E2513" s="2" t="str">
        <f>"PR6500014D"</f>
        <v>PR6500014D</v>
      </c>
      <c r="F2513" s="5">
        <v>43200</v>
      </c>
      <c r="G2513" s="5">
        <v>54789</v>
      </c>
      <c r="H2513" s="4" t="str">
        <f>""</f>
        <v/>
      </c>
      <c r="I2513" s="4" t="str">
        <f>""</f>
        <v/>
      </c>
    </row>
    <row r="2514" spans="1:9" x14ac:dyDescent="0.3">
      <c r="A2514" s="1" t="str">
        <f>"65"</f>
        <v>65</v>
      </c>
      <c r="B2514" s="4" t="str">
        <f>"SAS DECONS SUD AQUITAINE"</f>
        <v>SAS DECONS SUD AQUITAINE</v>
      </c>
      <c r="C2514" s="4">
        <v>832209944</v>
      </c>
      <c r="D2514" s="3" t="s">
        <v>0</v>
      </c>
      <c r="E2514" s="2" t="str">
        <f>"0006803183"</f>
        <v>0006803183</v>
      </c>
      <c r="F2514" s="5">
        <v>43200</v>
      </c>
      <c r="G2514" s="5">
        <v>54789</v>
      </c>
      <c r="H2514" s="4" t="str">
        <f>""</f>
        <v/>
      </c>
      <c r="I2514" s="4" t="str">
        <f>""</f>
        <v/>
      </c>
    </row>
    <row r="2515" spans="1:9" x14ac:dyDescent="0.3">
      <c r="A2515" s="1" t="str">
        <f>"66"</f>
        <v>66</v>
      </c>
      <c r="B2515" s="4" t="str">
        <f>"SARL LINARES SŒURS"</f>
        <v>SARL LINARES SŒURS</v>
      </c>
      <c r="C2515" s="4">
        <v>326931011</v>
      </c>
      <c r="D2515" s="3" t="s">
        <v>0</v>
      </c>
      <c r="E2515" s="2" t="str">
        <f>"PR6600002D"</f>
        <v>PR6600002D</v>
      </c>
      <c r="F2515" s="5">
        <v>43672</v>
      </c>
      <c r="G2515" s="5">
        <v>54789</v>
      </c>
      <c r="H2515" s="4" t="str">
        <f>""</f>
        <v/>
      </c>
      <c r="I2515" s="4" t="str">
        <f>""</f>
        <v/>
      </c>
    </row>
    <row r="2516" spans="1:9" x14ac:dyDescent="0.3">
      <c r="A2516" s="1" t="str">
        <f>"66"</f>
        <v>66</v>
      </c>
      <c r="B2516" s="4" t="str">
        <f>"SARL LINARES SŒURS"</f>
        <v>SARL LINARES SŒURS</v>
      </c>
      <c r="C2516" s="4">
        <v>326931011</v>
      </c>
      <c r="D2516" s="3" t="s">
        <v>0</v>
      </c>
      <c r="E2516" s="2" t="str">
        <f>"0006601498"</f>
        <v>0006601498</v>
      </c>
      <c r="F2516" s="5">
        <v>43672</v>
      </c>
      <c r="G2516" s="5">
        <v>54789</v>
      </c>
      <c r="H2516" s="4" t="str">
        <f>""</f>
        <v/>
      </c>
      <c r="I2516" s="4" t="str">
        <f>""</f>
        <v/>
      </c>
    </row>
    <row r="2517" spans="1:9" x14ac:dyDescent="0.3">
      <c r="A2517" s="1" t="str">
        <f>"66"</f>
        <v>66</v>
      </c>
      <c r="B2517" s="4" t="str">
        <f>"SAS PURFER"</f>
        <v>SAS PURFER</v>
      </c>
      <c r="C2517" s="4">
        <v>332628171</v>
      </c>
      <c r="D2517" s="3" t="s">
        <v>0</v>
      </c>
      <c r="E2517" s="2" t="str">
        <f>"PR6600005D"</f>
        <v>PR6600005D</v>
      </c>
      <c r="F2517" s="5">
        <v>43223</v>
      </c>
      <c r="G2517" s="5">
        <v>54789</v>
      </c>
      <c r="H2517" s="4" t="str">
        <f>""</f>
        <v/>
      </c>
      <c r="I2517" s="4" t="str">
        <f>""</f>
        <v/>
      </c>
    </row>
    <row r="2518" spans="1:9" x14ac:dyDescent="0.3">
      <c r="A2518" s="1" t="str">
        <f>"66"</f>
        <v>66</v>
      </c>
      <c r="B2518" s="4" t="str">
        <f>"SAS PURFER"</f>
        <v>SAS PURFER</v>
      </c>
      <c r="C2518" s="4">
        <v>332628171</v>
      </c>
      <c r="D2518" s="3" t="s">
        <v>0</v>
      </c>
      <c r="E2518" s="2" t="str">
        <f>"0018300013"</f>
        <v>0018300013</v>
      </c>
      <c r="F2518" s="5">
        <v>43223</v>
      </c>
      <c r="G2518" s="5">
        <v>54789</v>
      </c>
      <c r="H2518" s="4" t="str">
        <f>""</f>
        <v/>
      </c>
      <c r="I2518" s="4" t="str">
        <f>""</f>
        <v/>
      </c>
    </row>
    <row r="2519" spans="1:9" x14ac:dyDescent="0.3">
      <c r="A2519" s="1" t="str">
        <f>"66"</f>
        <v>66</v>
      </c>
      <c r="B2519" s="4" t="str">
        <f>"AUTO PIECES 66"</f>
        <v>AUTO PIECES 66</v>
      </c>
      <c r="C2519" s="4">
        <v>389648536</v>
      </c>
      <c r="D2519" s="3" t="s">
        <v>0</v>
      </c>
      <c r="E2519" s="2" t="str">
        <f>"PR6600007D"</f>
        <v>PR6600007D</v>
      </c>
      <c r="F2519" s="5">
        <v>43235</v>
      </c>
      <c r="G2519" s="5">
        <v>54789</v>
      </c>
      <c r="H2519" s="4" t="str">
        <f>""</f>
        <v/>
      </c>
      <c r="I2519" s="4" t="str">
        <f>""</f>
        <v/>
      </c>
    </row>
    <row r="2520" spans="1:9" x14ac:dyDescent="0.3">
      <c r="A2520" s="1" t="str">
        <f>"66"</f>
        <v>66</v>
      </c>
      <c r="B2520" s="4" t="str">
        <f>"AUTO PIECES 66"</f>
        <v>AUTO PIECES 66</v>
      </c>
      <c r="C2520" s="4">
        <v>389648536</v>
      </c>
      <c r="D2520" s="3" t="s">
        <v>0</v>
      </c>
      <c r="E2520" s="2" t="str">
        <f>"0006602345"</f>
        <v>0006602345</v>
      </c>
      <c r="F2520" s="5">
        <v>43235</v>
      </c>
      <c r="G2520" s="5">
        <v>54789</v>
      </c>
      <c r="H2520" s="4" t="str">
        <f>""</f>
        <v/>
      </c>
      <c r="I2520" s="4" t="str">
        <f>""</f>
        <v/>
      </c>
    </row>
    <row r="2521" spans="1:9" x14ac:dyDescent="0.3">
      <c r="A2521" s="1" t="str">
        <f>"66"</f>
        <v>66</v>
      </c>
      <c r="B2521" s="4" t="str">
        <f>"DEMOLITION AUTOS MARTY"</f>
        <v>DEMOLITION AUTOS MARTY</v>
      </c>
      <c r="C2521" s="4">
        <v>402863799</v>
      </c>
      <c r="D2521" s="3" t="s">
        <v>0</v>
      </c>
      <c r="E2521" s="2" t="str">
        <f>"PR66000012D"</f>
        <v>PR66000012D</v>
      </c>
      <c r="F2521" s="5">
        <v>43167</v>
      </c>
      <c r="G2521" s="5">
        <v>54789</v>
      </c>
      <c r="H2521" s="4" t="str">
        <f>""</f>
        <v/>
      </c>
      <c r="I2521" s="4" t="str">
        <f>""</f>
        <v/>
      </c>
    </row>
    <row r="2522" spans="1:9" x14ac:dyDescent="0.3">
      <c r="A2522" s="1" t="str">
        <f>"66"</f>
        <v>66</v>
      </c>
      <c r="B2522" s="4" t="str">
        <f>"DEMOLITION AUTOS MARTY"</f>
        <v>DEMOLITION AUTOS MARTY</v>
      </c>
      <c r="C2522" s="4">
        <v>402863799</v>
      </c>
      <c r="D2522" s="3" t="s">
        <v>0</v>
      </c>
      <c r="E2522" s="2" t="str">
        <f>"0006601468"</f>
        <v>0006601468</v>
      </c>
      <c r="F2522" s="5">
        <v>43167</v>
      </c>
      <c r="G2522" s="5">
        <v>54789</v>
      </c>
      <c r="H2522" s="4" t="str">
        <f>""</f>
        <v/>
      </c>
      <c r="I2522" s="4" t="str">
        <f>""</f>
        <v/>
      </c>
    </row>
    <row r="2523" spans="1:9" x14ac:dyDescent="0.3">
      <c r="A2523" s="1" t="str">
        <f>"66"</f>
        <v>66</v>
      </c>
      <c r="B2523" s="4" t="str">
        <f>"CASSE AUTO 114"</f>
        <v>CASSE AUTO 114</v>
      </c>
      <c r="C2523" s="4">
        <v>420782120</v>
      </c>
      <c r="D2523" s="3" t="s">
        <v>0</v>
      </c>
      <c r="E2523" s="2" t="str">
        <f>"PR66000011D"</f>
        <v>PR66000011D</v>
      </c>
      <c r="F2523" s="5">
        <v>42520</v>
      </c>
      <c r="G2523" s="5">
        <v>54789</v>
      </c>
      <c r="H2523" s="4" t="str">
        <f>""</f>
        <v/>
      </c>
      <c r="I2523" s="4" t="str">
        <f>""</f>
        <v/>
      </c>
    </row>
    <row r="2524" spans="1:9" x14ac:dyDescent="0.3">
      <c r="A2524" s="1" t="str">
        <f>"66"</f>
        <v>66</v>
      </c>
      <c r="B2524" s="4" t="str">
        <f>"CASSE AUTO 114"</f>
        <v>CASSE AUTO 114</v>
      </c>
      <c r="C2524" s="4">
        <v>420782120</v>
      </c>
      <c r="D2524" s="3" t="s">
        <v>0</v>
      </c>
      <c r="E2524" s="2" t="str">
        <f>"0006603665"</f>
        <v>0006603665</v>
      </c>
      <c r="F2524" s="5">
        <v>42520</v>
      </c>
      <c r="G2524" s="5">
        <v>54789</v>
      </c>
      <c r="H2524" s="4" t="str">
        <f>""</f>
        <v/>
      </c>
      <c r="I2524" s="4" t="str">
        <f>""</f>
        <v/>
      </c>
    </row>
    <row r="2525" spans="1:9" x14ac:dyDescent="0.3">
      <c r="A2525" s="1" t="str">
        <f>"66"</f>
        <v>66</v>
      </c>
      <c r="B2525" s="4" t="str">
        <f>"CASSE AUTO DE LA GARRIGUE"</f>
        <v>CASSE AUTO DE LA GARRIGUE</v>
      </c>
      <c r="C2525" s="4">
        <v>523537330</v>
      </c>
      <c r="D2525" s="3" t="s">
        <v>0</v>
      </c>
      <c r="E2525" s="2" t="str">
        <f>"PR6600008D"</f>
        <v>PR6600008D</v>
      </c>
      <c r="F2525" s="5">
        <v>43713</v>
      </c>
      <c r="G2525" s="5">
        <v>54789</v>
      </c>
      <c r="H2525" s="4" t="str">
        <f>""</f>
        <v/>
      </c>
      <c r="I2525" s="4" t="str">
        <f>""</f>
        <v/>
      </c>
    </row>
    <row r="2526" spans="1:9" x14ac:dyDescent="0.3">
      <c r="A2526" s="1" t="str">
        <f>"66"</f>
        <v>66</v>
      </c>
      <c r="B2526" s="4" t="str">
        <f>"CASSE AUTO DE LA GARRIGUE"</f>
        <v>CASSE AUTO DE LA GARRIGUE</v>
      </c>
      <c r="C2526" s="4">
        <v>523537330</v>
      </c>
      <c r="D2526" s="3" t="s">
        <v>0</v>
      </c>
      <c r="E2526" s="2" t="str">
        <f>"0006602582"</f>
        <v>0006602582</v>
      </c>
      <c r="F2526" s="5">
        <v>43713</v>
      </c>
      <c r="G2526" s="5">
        <v>54789</v>
      </c>
      <c r="H2526" s="4" t="str">
        <f>""</f>
        <v/>
      </c>
      <c r="I2526" s="4" t="str">
        <f>""</f>
        <v/>
      </c>
    </row>
    <row r="2527" spans="1:9" x14ac:dyDescent="0.3">
      <c r="A2527" s="1" t="str">
        <f>"66"</f>
        <v>66</v>
      </c>
      <c r="B2527" s="4" t="str">
        <f>"LA CATALANE DE RECUPERATION"</f>
        <v>LA CATALANE DE RECUPERATION</v>
      </c>
      <c r="C2527" s="4">
        <v>800680795</v>
      </c>
      <c r="D2527" s="3" t="s">
        <v>0</v>
      </c>
      <c r="E2527" s="2" t="str">
        <f>"PR66000017D"</f>
        <v>PR66000017D</v>
      </c>
      <c r="F2527" s="5">
        <v>45330</v>
      </c>
      <c r="G2527" s="5">
        <v>54789</v>
      </c>
      <c r="H2527" s="4" t="str">
        <f>""</f>
        <v/>
      </c>
      <c r="I2527" s="4" t="str">
        <f>""</f>
        <v/>
      </c>
    </row>
    <row r="2528" spans="1:9" x14ac:dyDescent="0.3">
      <c r="A2528" s="1" t="str">
        <f>"66"</f>
        <v>66</v>
      </c>
      <c r="B2528" s="4" t="str">
        <f>"LA CATALANE DE RECUPERATION"</f>
        <v>LA CATALANE DE RECUPERATION</v>
      </c>
      <c r="C2528" s="4">
        <v>800680795</v>
      </c>
      <c r="D2528" s="3" t="s">
        <v>0</v>
      </c>
      <c r="E2528" s="2" t="str">
        <f>"0003702398"</f>
        <v>0003702398</v>
      </c>
      <c r="F2528" s="5">
        <v>45330</v>
      </c>
      <c r="G2528" s="5">
        <v>54789</v>
      </c>
      <c r="H2528" s="4" t="str">
        <f>""</f>
        <v/>
      </c>
      <c r="I2528" s="4" t="str">
        <f>""</f>
        <v/>
      </c>
    </row>
    <row r="2529" spans="1:9" x14ac:dyDescent="0.3">
      <c r="A2529" s="1" t="str">
        <f>"66"</f>
        <v>66</v>
      </c>
      <c r="B2529" s="4" t="str">
        <f>"4X4`SSE AUTO 66"</f>
        <v>4X4`SSE AUTO 66</v>
      </c>
      <c r="C2529" s="4">
        <v>810389619</v>
      </c>
      <c r="D2529" s="3" t="s">
        <v>0</v>
      </c>
      <c r="E2529" s="2" t="str">
        <f>"PR66000014D"</f>
        <v>PR66000014D</v>
      </c>
      <c r="F2529" s="5">
        <v>42944</v>
      </c>
      <c r="G2529" s="5">
        <v>54789</v>
      </c>
      <c r="H2529" s="4" t="str">
        <f>""</f>
        <v/>
      </c>
      <c r="I2529" s="4" t="str">
        <f>""</f>
        <v/>
      </c>
    </row>
    <row r="2530" spans="1:9" x14ac:dyDescent="0.3">
      <c r="A2530" s="1" t="str">
        <f>"66"</f>
        <v>66</v>
      </c>
      <c r="B2530" s="4" t="str">
        <f>"4X4`SSE AUTO 66"</f>
        <v>4X4`SSE AUTO 66</v>
      </c>
      <c r="C2530" s="4">
        <v>810389619</v>
      </c>
      <c r="D2530" s="3" t="s">
        <v>0</v>
      </c>
      <c r="E2530" s="2" t="str">
        <f>"0006606634"</f>
        <v>0006606634</v>
      </c>
      <c r="F2530" s="5">
        <v>42944</v>
      </c>
      <c r="G2530" s="5">
        <v>54789</v>
      </c>
      <c r="H2530" s="4" t="str">
        <f>""</f>
        <v/>
      </c>
      <c r="I2530" s="4" t="str">
        <f>""</f>
        <v/>
      </c>
    </row>
    <row r="2531" spans="1:9" x14ac:dyDescent="0.3">
      <c r="A2531" s="1" t="str">
        <f>"66"</f>
        <v>66</v>
      </c>
      <c r="B2531" s="4" t="str">
        <f>"ABC REMORQUAGE"</f>
        <v>ABC REMORQUAGE</v>
      </c>
      <c r="C2531" s="4">
        <v>828009241</v>
      </c>
      <c r="D2531" s="3" t="s">
        <v>0</v>
      </c>
      <c r="E2531" s="2" t="str">
        <f>"PR66000015D"</f>
        <v>PR66000015D</v>
      </c>
      <c r="F2531" s="5">
        <v>43829</v>
      </c>
      <c r="G2531" s="5">
        <v>54789</v>
      </c>
      <c r="H2531" s="4" t="str">
        <f>""</f>
        <v/>
      </c>
      <c r="I2531" s="4" t="str">
        <f>""</f>
        <v/>
      </c>
    </row>
    <row r="2532" spans="1:9" x14ac:dyDescent="0.3">
      <c r="A2532" s="1" t="str">
        <f>"66"</f>
        <v>66</v>
      </c>
      <c r="B2532" s="4" t="str">
        <f>"ABC REMORQUAGE"</f>
        <v>ABC REMORQUAGE</v>
      </c>
      <c r="C2532" s="4">
        <v>828009241</v>
      </c>
      <c r="D2532" s="3" t="s">
        <v>0</v>
      </c>
      <c r="E2532" s="2" t="str">
        <f>"0003700774"</f>
        <v>0003700774</v>
      </c>
      <c r="F2532" s="5">
        <v>43829</v>
      </c>
      <c r="G2532" s="5">
        <v>54789</v>
      </c>
      <c r="H2532" s="4" t="str">
        <f>""</f>
        <v/>
      </c>
      <c r="I2532" s="4" t="str">
        <f>""</f>
        <v/>
      </c>
    </row>
    <row r="2533" spans="1:9" x14ac:dyDescent="0.3">
      <c r="A2533" s="1" t="str">
        <f>"66"</f>
        <v>66</v>
      </c>
      <c r="B2533" s="4" t="str">
        <f>"RECUPERATION SUD"</f>
        <v>RECUPERATION SUD</v>
      </c>
      <c r="C2533" s="4">
        <v>844074534</v>
      </c>
      <c r="D2533" s="3" t="s">
        <v>0</v>
      </c>
      <c r="E2533" s="2" t="str">
        <f>"PR66000018D"</f>
        <v>PR66000018D</v>
      </c>
      <c r="F2533" s="5">
        <v>45337</v>
      </c>
      <c r="G2533" s="5">
        <v>54789</v>
      </c>
      <c r="H2533" s="4" t="str">
        <f>""</f>
        <v/>
      </c>
      <c r="I2533" s="4" t="str">
        <f>""</f>
        <v/>
      </c>
    </row>
    <row r="2534" spans="1:9" x14ac:dyDescent="0.3">
      <c r="A2534" s="1" t="str">
        <f>"66"</f>
        <v>66</v>
      </c>
      <c r="B2534" s="4" t="str">
        <f>"RECUPERATION SUD"</f>
        <v>RECUPERATION SUD</v>
      </c>
      <c r="C2534" s="4">
        <v>844074534</v>
      </c>
      <c r="D2534" s="3" t="s">
        <v>0</v>
      </c>
      <c r="E2534" s="2" t="str">
        <f>"0003702868"</f>
        <v>0003702868</v>
      </c>
      <c r="F2534" s="5">
        <v>45337</v>
      </c>
      <c r="G2534" s="5">
        <v>54789</v>
      </c>
      <c r="H2534" s="4" t="str">
        <f>""</f>
        <v/>
      </c>
      <c r="I2534" s="4" t="str">
        <f>""</f>
        <v/>
      </c>
    </row>
    <row r="2535" spans="1:9" x14ac:dyDescent="0.3">
      <c r="A2535" s="1" t="str">
        <f>"66"</f>
        <v>66</v>
      </c>
      <c r="B2535" s="4" t="str">
        <f>"GARAGE AUTO PROMO SUD"</f>
        <v>GARAGE AUTO PROMO SUD</v>
      </c>
      <c r="C2535" s="4">
        <v>844076158</v>
      </c>
      <c r="D2535" s="3" t="s">
        <v>0</v>
      </c>
      <c r="E2535" s="2" t="str">
        <f>"0006601504"</f>
        <v>0006601504</v>
      </c>
      <c r="F2535" s="5">
        <v>45705</v>
      </c>
      <c r="G2535" s="5">
        <v>54789</v>
      </c>
      <c r="H2535" s="4" t="str">
        <f>""</f>
        <v/>
      </c>
      <c r="I2535" s="4" t="str">
        <f>""</f>
        <v/>
      </c>
    </row>
    <row r="2536" spans="1:9" x14ac:dyDescent="0.3">
      <c r="A2536" s="1" t="str">
        <f>"66"</f>
        <v>66</v>
      </c>
      <c r="B2536" s="4" t="str">
        <f>"RECUP AUTO"</f>
        <v>RECUP AUTO</v>
      </c>
      <c r="C2536" s="4">
        <v>849529029</v>
      </c>
      <c r="D2536" s="3" t="s">
        <v>0</v>
      </c>
      <c r="E2536" s="2" t="str">
        <f>"PR66000016D"</f>
        <v>PR66000016D</v>
      </c>
      <c r="F2536" s="5">
        <v>44742</v>
      </c>
      <c r="G2536" s="5">
        <v>54789</v>
      </c>
      <c r="H2536" s="4" t="str">
        <f>""</f>
        <v/>
      </c>
      <c r="I2536" s="4" t="str">
        <f>""</f>
        <v/>
      </c>
    </row>
    <row r="2537" spans="1:9" x14ac:dyDescent="0.3">
      <c r="A2537" s="1" t="str">
        <f>"66"</f>
        <v>66</v>
      </c>
      <c r="B2537" s="4" t="str">
        <f>"RECUP AUTO"</f>
        <v>RECUP AUTO</v>
      </c>
      <c r="C2537" s="4">
        <v>849529029</v>
      </c>
      <c r="D2537" s="3" t="s">
        <v>0</v>
      </c>
      <c r="E2537" s="2" t="str">
        <f>"0003702442"</f>
        <v>0003702442</v>
      </c>
      <c r="F2537" s="5">
        <v>44742</v>
      </c>
      <c r="G2537" s="5">
        <v>54789</v>
      </c>
      <c r="H2537" s="4" t="str">
        <f>""</f>
        <v/>
      </c>
      <c r="I2537" s="4" t="str">
        <f>""</f>
        <v/>
      </c>
    </row>
    <row r="2538" spans="1:9" x14ac:dyDescent="0.3">
      <c r="A2538" s="1" t="str">
        <f>"66"</f>
        <v>66</v>
      </c>
      <c r="B2538" s="4" t="str">
        <f>"A2M RECYCLING"</f>
        <v>A2M RECYCLING</v>
      </c>
      <c r="C2538" s="4">
        <v>898711916</v>
      </c>
      <c r="D2538" s="3" t="s">
        <v>0</v>
      </c>
      <c r="E2538" s="2" t="str">
        <f>"0003704193"</f>
        <v>0003704193</v>
      </c>
      <c r="F2538" s="5">
        <v>45691</v>
      </c>
      <c r="G2538" s="5">
        <v>54789</v>
      </c>
      <c r="H2538" s="4" t="str">
        <f>""</f>
        <v/>
      </c>
      <c r="I2538" s="4" t="str">
        <f>""</f>
        <v/>
      </c>
    </row>
    <row r="2539" spans="1:9" x14ac:dyDescent="0.3">
      <c r="A2539" s="1" t="str">
        <f>"66"</f>
        <v>66</v>
      </c>
      <c r="B2539" s="4" t="str">
        <f>"A2M RECYCLING"</f>
        <v>A2M RECYCLING</v>
      </c>
      <c r="C2539" s="4">
        <v>898711916</v>
      </c>
      <c r="D2539" s="3" t="s">
        <v>0</v>
      </c>
      <c r="E2539" s="2" t="str">
        <f>"PR66000020D"</f>
        <v>PR66000020D</v>
      </c>
      <c r="F2539" s="5">
        <v>45691</v>
      </c>
      <c r="G2539" s="5">
        <v>54789</v>
      </c>
      <c r="H2539" s="4" t="str">
        <f>""</f>
        <v/>
      </c>
      <c r="I2539" s="4" t="str">
        <f>""</f>
        <v/>
      </c>
    </row>
    <row r="2540" spans="1:9" x14ac:dyDescent="0.3">
      <c r="A2540" s="1" t="str">
        <f>"66"</f>
        <v>66</v>
      </c>
      <c r="B2540" s="4" t="str">
        <f>"MP RECYCLAGE"</f>
        <v>MP RECYCLAGE</v>
      </c>
      <c r="C2540" s="4">
        <v>915032866</v>
      </c>
      <c r="D2540" s="3" t="s">
        <v>0</v>
      </c>
      <c r="E2540" s="2" t="str">
        <f>"100012485"</f>
        <v>100012485</v>
      </c>
      <c r="F2540" s="5">
        <v>45670</v>
      </c>
      <c r="G2540" s="5">
        <v>54789</v>
      </c>
      <c r="H2540" s="4" t="str">
        <f>""</f>
        <v/>
      </c>
      <c r="I2540" s="4" t="str">
        <f>""</f>
        <v/>
      </c>
    </row>
    <row r="2541" spans="1:9" x14ac:dyDescent="0.3">
      <c r="A2541" s="1" t="str">
        <f>"66"</f>
        <v>66</v>
      </c>
      <c r="B2541" s="4" t="str">
        <f>"MP RECYCLAGE"</f>
        <v>MP RECYCLAGE</v>
      </c>
      <c r="C2541" s="4">
        <v>915032866</v>
      </c>
      <c r="D2541" s="3" t="s">
        <v>0</v>
      </c>
      <c r="E2541" s="2" t="str">
        <f>"PR66000019D"</f>
        <v>PR66000019D</v>
      </c>
      <c r="F2541" s="5">
        <v>45670</v>
      </c>
      <c r="G2541" s="5">
        <v>54789</v>
      </c>
      <c r="H2541" s="4" t="str">
        <f>""</f>
        <v/>
      </c>
      <c r="I2541" s="4" t="str">
        <f>""</f>
        <v/>
      </c>
    </row>
    <row r="2542" spans="1:9" x14ac:dyDescent="0.3">
      <c r="A2542" s="1" t="str">
        <f>"67"</f>
        <v>67</v>
      </c>
      <c r="B2542" s="4" t="str">
        <f>"FREY JEAN JACQUES SARL"</f>
        <v>FREY JEAN JACQUES SARL</v>
      </c>
      <c r="C2542" s="4">
        <v>322324740</v>
      </c>
      <c r="D2542" s="3" t="s">
        <v>0</v>
      </c>
      <c r="E2542" s="2" t="str">
        <f>"PR6700015D"</f>
        <v>PR6700015D</v>
      </c>
      <c r="F2542" s="5">
        <v>43504</v>
      </c>
      <c r="G2542" s="5">
        <v>54789</v>
      </c>
      <c r="H2542" s="4" t="str">
        <f>""</f>
        <v/>
      </c>
      <c r="I2542" s="4" t="str">
        <f>""</f>
        <v/>
      </c>
    </row>
    <row r="2543" spans="1:9" x14ac:dyDescent="0.3">
      <c r="A2543" s="1" t="str">
        <f>"67"</f>
        <v>67</v>
      </c>
      <c r="B2543" s="4" t="str">
        <f>"FREY JEAN JACQUES SARL"</f>
        <v>FREY JEAN JACQUES SARL</v>
      </c>
      <c r="C2543" s="4">
        <v>322324740</v>
      </c>
      <c r="D2543" s="3" t="s">
        <v>0</v>
      </c>
      <c r="E2543" s="2" t="str">
        <f>"0006701585"</f>
        <v>0006701585</v>
      </c>
      <c r="F2543" s="5">
        <v>43504</v>
      </c>
      <c r="G2543" s="5">
        <v>54789</v>
      </c>
      <c r="H2543" s="4" t="str">
        <f>""</f>
        <v/>
      </c>
      <c r="I2543" s="4" t="str">
        <f>""</f>
        <v/>
      </c>
    </row>
    <row r="2544" spans="1:9" x14ac:dyDescent="0.3">
      <c r="A2544" s="1" t="str">
        <f>"67"</f>
        <v>67</v>
      </c>
      <c r="B2544" s="4" t="str">
        <f>"ETABLISSEMENTS OBERT"</f>
        <v>ETABLISSEMENTS OBERT</v>
      </c>
      <c r="C2544" s="4">
        <v>328660204</v>
      </c>
      <c r="D2544" s="3" t="s">
        <v>0</v>
      </c>
      <c r="E2544" s="2" t="str">
        <f>"PR6700001D"</f>
        <v>PR6700001D</v>
      </c>
      <c r="F2544" s="5">
        <v>43197</v>
      </c>
      <c r="G2544" s="5">
        <v>54789</v>
      </c>
      <c r="H2544" s="4" t="str">
        <f>""</f>
        <v/>
      </c>
      <c r="I2544" s="4" t="str">
        <f>""</f>
        <v/>
      </c>
    </row>
    <row r="2545" spans="1:9" x14ac:dyDescent="0.3">
      <c r="A2545" s="1" t="str">
        <f>"67"</f>
        <v>67</v>
      </c>
      <c r="B2545" s="4" t="str">
        <f>"CASSE AUTO DEMOLITION"</f>
        <v>CASSE AUTO DEMOLITION</v>
      </c>
      <c r="C2545" s="4">
        <v>335015434</v>
      </c>
      <c r="D2545" s="3" t="s">
        <v>0</v>
      </c>
      <c r="E2545" s="2" t="str">
        <f>"PR6700007D"</f>
        <v>PR6700007D</v>
      </c>
      <c r="F2545" s="5">
        <v>43279</v>
      </c>
      <c r="G2545" s="5">
        <v>54789</v>
      </c>
      <c r="H2545" s="4" t="str">
        <f>""</f>
        <v/>
      </c>
      <c r="I2545" s="4" t="str">
        <f>""</f>
        <v/>
      </c>
    </row>
    <row r="2546" spans="1:9" x14ac:dyDescent="0.3">
      <c r="A2546" s="1" t="str">
        <f>"67"</f>
        <v>67</v>
      </c>
      <c r="B2546" s="4" t="str">
        <f>"CASSE AUTO DEMOLITION"</f>
        <v>CASSE AUTO DEMOLITION</v>
      </c>
      <c r="C2546" s="4">
        <v>335015434</v>
      </c>
      <c r="D2546" s="3" t="s">
        <v>0</v>
      </c>
      <c r="E2546" s="2" t="str">
        <f>"0006702703"</f>
        <v>0006702703</v>
      </c>
      <c r="F2546" s="5">
        <v>43279</v>
      </c>
      <c r="G2546" s="5">
        <v>54789</v>
      </c>
      <c r="H2546" s="4" t="str">
        <f>""</f>
        <v/>
      </c>
      <c r="I2546" s="4" t="str">
        <f>""</f>
        <v/>
      </c>
    </row>
    <row r="2547" spans="1:9" x14ac:dyDescent="0.3">
      <c r="A2547" s="1" t="str">
        <f>"67"</f>
        <v>67</v>
      </c>
      <c r="B2547" s="4" t="str">
        <f>"STAR AUTOS"</f>
        <v>STAR AUTOS</v>
      </c>
      <c r="C2547" s="4">
        <v>345329122</v>
      </c>
      <c r="D2547" s="3" t="s">
        <v>0</v>
      </c>
      <c r="E2547" s="2" t="str">
        <f>"PR6700004D"</f>
        <v>PR6700004D</v>
      </c>
      <c r="F2547" s="5">
        <v>43182</v>
      </c>
      <c r="G2547" s="5">
        <v>54789</v>
      </c>
      <c r="H2547" s="4" t="str">
        <f>""</f>
        <v/>
      </c>
      <c r="I2547" s="4" t="str">
        <f>""</f>
        <v/>
      </c>
    </row>
    <row r="2548" spans="1:9" x14ac:dyDescent="0.3">
      <c r="A2548" s="1" t="str">
        <f>"67"</f>
        <v>67</v>
      </c>
      <c r="B2548" s="4" t="str">
        <f>"STAR AUTOS"</f>
        <v>STAR AUTOS</v>
      </c>
      <c r="C2548" s="4">
        <v>345329122</v>
      </c>
      <c r="D2548" s="3" t="s">
        <v>0</v>
      </c>
      <c r="E2548" s="2" t="str">
        <f>"0006701943"</f>
        <v>0006701943</v>
      </c>
      <c r="F2548" s="5">
        <v>43182</v>
      </c>
      <c r="G2548" s="5">
        <v>54789</v>
      </c>
      <c r="H2548" s="4" t="str">
        <f>""</f>
        <v/>
      </c>
      <c r="I2548" s="4" t="str">
        <f>""</f>
        <v/>
      </c>
    </row>
    <row r="2549" spans="1:9" x14ac:dyDescent="0.3">
      <c r="A2549" s="1" t="str">
        <f>"67"</f>
        <v>67</v>
      </c>
      <c r="B2549" s="4" t="str">
        <f>"SOUFFEL PIECES AUTO"</f>
        <v>SOUFFEL PIECES AUTO</v>
      </c>
      <c r="C2549" s="4">
        <v>399483981</v>
      </c>
      <c r="D2549" s="3" t="s">
        <v>0</v>
      </c>
      <c r="E2549" s="2" t="str">
        <f>"PR6700026D"</f>
        <v>PR6700026D</v>
      </c>
      <c r="F2549" s="5">
        <v>41618</v>
      </c>
      <c r="G2549" s="5">
        <v>54789</v>
      </c>
      <c r="H2549" s="4" t="str">
        <f>""</f>
        <v/>
      </c>
      <c r="I2549" s="4" t="str">
        <f>""</f>
        <v/>
      </c>
    </row>
    <row r="2550" spans="1:9" x14ac:dyDescent="0.3">
      <c r="A2550" s="1" t="str">
        <f>"67"</f>
        <v>67</v>
      </c>
      <c r="B2550" s="4" t="str">
        <f>"SOUFFEL PIECES AUTO"</f>
        <v>SOUFFEL PIECES AUTO</v>
      </c>
      <c r="C2550" s="4">
        <v>399483981</v>
      </c>
      <c r="D2550" s="3" t="s">
        <v>0</v>
      </c>
      <c r="E2550" s="2" t="str">
        <f>"0006705830"</f>
        <v>0006705830</v>
      </c>
      <c r="F2550" s="5">
        <v>41618</v>
      </c>
      <c r="G2550" s="5">
        <v>54789</v>
      </c>
      <c r="H2550" s="4" t="str">
        <f>""</f>
        <v/>
      </c>
      <c r="I2550" s="4" t="str">
        <f>""</f>
        <v/>
      </c>
    </row>
    <row r="2551" spans="1:9" x14ac:dyDescent="0.3">
      <c r="A2551" s="1" t="str">
        <f>"67"</f>
        <v>67</v>
      </c>
      <c r="B2551" s="4" t="str">
        <f>"PASCAL MARCHAL AUTO"</f>
        <v>PASCAL MARCHAL AUTO</v>
      </c>
      <c r="C2551" s="4">
        <v>410252167</v>
      </c>
      <c r="D2551" s="3" t="s">
        <v>0</v>
      </c>
      <c r="E2551" s="2" t="str">
        <f>"PR6700006D"</f>
        <v>PR6700006D</v>
      </c>
      <c r="F2551" s="5">
        <v>43111</v>
      </c>
      <c r="G2551" s="5">
        <v>54789</v>
      </c>
      <c r="H2551" s="4" t="str">
        <f>""</f>
        <v/>
      </c>
      <c r="I2551" s="4" t="str">
        <f>""</f>
        <v/>
      </c>
    </row>
    <row r="2552" spans="1:9" x14ac:dyDescent="0.3">
      <c r="A2552" s="1" t="str">
        <f>"67"</f>
        <v>67</v>
      </c>
      <c r="B2552" s="4" t="str">
        <f>"PASCAL MARCHAL AUTO"</f>
        <v>PASCAL MARCHAL AUTO</v>
      </c>
      <c r="C2552" s="4">
        <v>410252167</v>
      </c>
      <c r="D2552" s="3" t="s">
        <v>0</v>
      </c>
      <c r="E2552" s="2" t="str">
        <f>"0006701756"</f>
        <v>0006701756</v>
      </c>
      <c r="F2552" s="5">
        <v>43111</v>
      </c>
      <c r="G2552" s="5">
        <v>54789</v>
      </c>
      <c r="H2552" s="4" t="str">
        <f>""</f>
        <v/>
      </c>
      <c r="I2552" s="4" t="str">
        <f>""</f>
        <v/>
      </c>
    </row>
    <row r="2553" spans="1:9" x14ac:dyDescent="0.3">
      <c r="A2553" s="1" t="str">
        <f>"67"</f>
        <v>67</v>
      </c>
      <c r="B2553" s="4" t="str">
        <f>"GEST LEASE ING."</f>
        <v>GEST LEASE ING.</v>
      </c>
      <c r="C2553" s="4">
        <v>441680865</v>
      </c>
      <c r="D2553" s="3" t="s">
        <v>0</v>
      </c>
      <c r="E2553" s="2" t="str">
        <f>"PR6700029D"</f>
        <v>PR6700029D</v>
      </c>
      <c r="F2553" s="5">
        <v>43356</v>
      </c>
      <c r="G2553" s="5">
        <v>54789</v>
      </c>
      <c r="H2553" s="4" t="str">
        <f>""</f>
        <v/>
      </c>
      <c r="I2553" s="4" t="str">
        <f>""</f>
        <v/>
      </c>
    </row>
    <row r="2554" spans="1:9" x14ac:dyDescent="0.3">
      <c r="A2554" s="1" t="str">
        <f>"67"</f>
        <v>67</v>
      </c>
      <c r="B2554" s="4" t="str">
        <f>"GEST LEASE ING."</f>
        <v>GEST LEASE ING.</v>
      </c>
      <c r="C2554" s="4">
        <v>441680865</v>
      </c>
      <c r="D2554" s="3" t="s">
        <v>0</v>
      </c>
      <c r="E2554" s="2" t="str">
        <f>"0003013124"</f>
        <v>0003013124</v>
      </c>
      <c r="F2554" s="5">
        <v>43356</v>
      </c>
      <c r="G2554" s="5">
        <v>54789</v>
      </c>
      <c r="H2554" s="4" t="str">
        <f>""</f>
        <v/>
      </c>
      <c r="I2554" s="4" t="str">
        <f>""</f>
        <v/>
      </c>
    </row>
    <row r="2555" spans="1:9" x14ac:dyDescent="0.3">
      <c r="A2555" s="1" t="str">
        <f>"67"</f>
        <v>67</v>
      </c>
      <c r="B2555" s="4" t="str">
        <f>"A.J. AUTO-DEMOLITION"</f>
        <v>A.J. AUTO-DEMOLITION</v>
      </c>
      <c r="C2555" s="4">
        <v>488564816</v>
      </c>
      <c r="D2555" s="3" t="s">
        <v>0</v>
      </c>
      <c r="E2555" s="2" t="str">
        <f>"PR6700012D"</f>
        <v>PR6700012D</v>
      </c>
      <c r="F2555" s="5">
        <v>43041</v>
      </c>
      <c r="G2555" s="5">
        <v>54789</v>
      </c>
      <c r="H2555" s="4" t="str">
        <f>""</f>
        <v/>
      </c>
      <c r="I2555" s="4" t="str">
        <f>""</f>
        <v/>
      </c>
    </row>
    <row r="2556" spans="1:9" x14ac:dyDescent="0.3">
      <c r="A2556" s="1" t="str">
        <f>"67"</f>
        <v>67</v>
      </c>
      <c r="B2556" s="4" t="str">
        <f>"A.J. AUTO-DEMOLITION"</f>
        <v>A.J. AUTO-DEMOLITION</v>
      </c>
      <c r="C2556" s="4">
        <v>488564816</v>
      </c>
      <c r="D2556" s="3" t="s">
        <v>0</v>
      </c>
      <c r="E2556" s="2" t="str">
        <f>"0006701855"</f>
        <v>0006701855</v>
      </c>
      <c r="F2556" s="5">
        <v>43041</v>
      </c>
      <c r="G2556" s="5">
        <v>54789</v>
      </c>
      <c r="H2556" s="4" t="str">
        <f>""</f>
        <v/>
      </c>
      <c r="I2556" s="4" t="str">
        <f>""</f>
        <v/>
      </c>
    </row>
    <row r="2557" spans="1:9" x14ac:dyDescent="0.3">
      <c r="A2557" s="1" t="str">
        <f>"67"</f>
        <v>67</v>
      </c>
      <c r="B2557" s="4" t="str">
        <f>"MARCILLET"</f>
        <v>MARCILLET</v>
      </c>
      <c r="C2557" s="4">
        <v>503130692</v>
      </c>
      <c r="D2557" s="3" t="s">
        <v>0</v>
      </c>
      <c r="E2557" s="2" t="str">
        <f>"PR6700005D"</f>
        <v>PR6700005D</v>
      </c>
      <c r="F2557" s="5">
        <v>41194</v>
      </c>
      <c r="G2557" s="5">
        <v>54789</v>
      </c>
      <c r="H2557" s="4" t="str">
        <f>""</f>
        <v/>
      </c>
      <c r="I2557" s="4" t="str">
        <f>""</f>
        <v/>
      </c>
    </row>
    <row r="2558" spans="1:9" x14ac:dyDescent="0.3">
      <c r="A2558" s="1" t="str">
        <f>"67"</f>
        <v>67</v>
      </c>
      <c r="B2558" s="4" t="str">
        <f>"RECYCL'AUTO"</f>
        <v>RECYCL'AUTO</v>
      </c>
      <c r="C2558" s="4">
        <v>508392487</v>
      </c>
      <c r="D2558" s="3" t="s">
        <v>0</v>
      </c>
      <c r="E2558" s="2" t="str">
        <f>"PR6700028D"</f>
        <v>PR6700028D</v>
      </c>
      <c r="F2558" s="5">
        <v>42401</v>
      </c>
      <c r="G2558" s="5">
        <v>54789</v>
      </c>
      <c r="H2558" s="4" t="str">
        <f>""</f>
        <v/>
      </c>
      <c r="I2558" s="4" t="str">
        <f>""</f>
        <v/>
      </c>
    </row>
    <row r="2559" spans="1:9" x14ac:dyDescent="0.3">
      <c r="A2559" s="1" t="str">
        <f>"67"</f>
        <v>67</v>
      </c>
      <c r="B2559" s="4" t="str">
        <f>"RECYCL'AUTO"</f>
        <v>RECYCL'AUTO</v>
      </c>
      <c r="C2559" s="4">
        <v>508392487</v>
      </c>
      <c r="D2559" s="3" t="s">
        <v>0</v>
      </c>
      <c r="E2559" s="2" t="str">
        <f>"0006702422"</f>
        <v>0006702422</v>
      </c>
      <c r="F2559" s="5">
        <v>42401</v>
      </c>
      <c r="G2559" s="5">
        <v>54789</v>
      </c>
      <c r="H2559" s="4" t="str">
        <f>""</f>
        <v/>
      </c>
      <c r="I2559" s="4" t="str">
        <f>""</f>
        <v/>
      </c>
    </row>
    <row r="2560" spans="1:9" x14ac:dyDescent="0.3">
      <c r="A2560" s="1" t="str">
        <f>"67"</f>
        <v>67</v>
      </c>
      <c r="B2560" s="4" t="str">
        <f>"MC"</f>
        <v>MC</v>
      </c>
      <c r="C2560" s="4">
        <v>511585275</v>
      </c>
      <c r="D2560" s="3" t="s">
        <v>0</v>
      </c>
      <c r="E2560" s="2" t="str">
        <f>"PR6700030D"</f>
        <v>PR6700030D</v>
      </c>
      <c r="F2560" s="5">
        <v>43432</v>
      </c>
      <c r="G2560" s="5">
        <v>54789</v>
      </c>
      <c r="H2560" s="4" t="str">
        <f>""</f>
        <v/>
      </c>
      <c r="I2560" s="4" t="str">
        <f>""</f>
        <v/>
      </c>
    </row>
    <row r="2561" spans="1:9" x14ac:dyDescent="0.3">
      <c r="A2561" s="1" t="str">
        <f>"67"</f>
        <v>67</v>
      </c>
      <c r="B2561" s="4" t="str">
        <f>"TRANSPORTS GUHMANN"</f>
        <v>TRANSPORTS GUHMANN</v>
      </c>
      <c r="C2561" s="4">
        <v>515295285</v>
      </c>
      <c r="D2561" s="3" t="s">
        <v>0</v>
      </c>
      <c r="E2561" s="2" t="str">
        <f>"PR6700022D"</f>
        <v>PR6700022D</v>
      </c>
      <c r="F2561" s="5">
        <v>42633</v>
      </c>
      <c r="G2561" s="5">
        <v>54789</v>
      </c>
      <c r="H2561" s="4" t="str">
        <f>""</f>
        <v/>
      </c>
      <c r="I2561" s="4" t="str">
        <f>""</f>
        <v/>
      </c>
    </row>
    <row r="2562" spans="1:9" x14ac:dyDescent="0.3">
      <c r="A2562" s="1" t="str">
        <f>"67"</f>
        <v>67</v>
      </c>
      <c r="B2562" s="4" t="str">
        <f>"TRANSPORTS GUHMANN"</f>
        <v>TRANSPORTS GUHMANN</v>
      </c>
      <c r="C2562" s="4">
        <v>515295285</v>
      </c>
      <c r="D2562" s="3" t="s">
        <v>0</v>
      </c>
      <c r="E2562" s="2" t="str">
        <f>"0006701872"</f>
        <v>0006701872</v>
      </c>
      <c r="F2562" s="5">
        <v>42633</v>
      </c>
      <c r="G2562" s="5">
        <v>54789</v>
      </c>
      <c r="H2562" s="4" t="str">
        <f>""</f>
        <v/>
      </c>
      <c r="I2562" s="4" t="str">
        <f>""</f>
        <v/>
      </c>
    </row>
    <row r="2563" spans="1:9" x14ac:dyDescent="0.3">
      <c r="A2563" s="1" t="str">
        <f>"67"</f>
        <v>67</v>
      </c>
      <c r="B2563" s="4" t="str">
        <f>"ESKA"</f>
        <v>ESKA</v>
      </c>
      <c r="C2563" s="4">
        <v>558502811</v>
      </c>
      <c r="D2563" s="3" t="s">
        <v>0</v>
      </c>
      <c r="E2563" s="2" t="str">
        <f>"PR6700002B"</f>
        <v>PR6700002B</v>
      </c>
      <c r="F2563" s="5">
        <v>43241</v>
      </c>
      <c r="G2563" s="5">
        <v>54789</v>
      </c>
      <c r="H2563" s="4" t="str">
        <f>""</f>
        <v/>
      </c>
      <c r="I2563" s="4" t="str">
        <f>""</f>
        <v/>
      </c>
    </row>
    <row r="2564" spans="1:9" x14ac:dyDescent="0.3">
      <c r="A2564" s="1" t="str">
        <f>"67"</f>
        <v>67</v>
      </c>
      <c r="B2564" s="4" t="str">
        <f>"ESKA"</f>
        <v>ESKA</v>
      </c>
      <c r="C2564" s="4">
        <v>558502811</v>
      </c>
      <c r="D2564" s="3" t="s">
        <v>0</v>
      </c>
      <c r="E2564" s="2" t="str">
        <f>"0006701326"</f>
        <v>0006701326</v>
      </c>
      <c r="F2564" s="5">
        <v>43241</v>
      </c>
      <c r="G2564" s="5">
        <v>54789</v>
      </c>
      <c r="H2564" s="4" t="str">
        <f>""</f>
        <v/>
      </c>
      <c r="I2564" s="4" t="str">
        <f>""</f>
        <v/>
      </c>
    </row>
    <row r="2565" spans="1:9" x14ac:dyDescent="0.3">
      <c r="A2565" s="1" t="str">
        <f>"67"</f>
        <v>67</v>
      </c>
      <c r="B2565" s="4" t="str">
        <f>"ESKA"</f>
        <v>ESKA</v>
      </c>
      <c r="C2565" s="4">
        <v>558502811</v>
      </c>
      <c r="D2565" s="3" t="s">
        <v>0</v>
      </c>
      <c r="E2565" s="2" t="str">
        <f>"PR6700002D"</f>
        <v>PR6700002D</v>
      </c>
      <c r="F2565" s="5">
        <v>43241</v>
      </c>
      <c r="G2565" s="5">
        <v>54789</v>
      </c>
      <c r="H2565" s="4" t="str">
        <f>""</f>
        <v/>
      </c>
      <c r="I2565" s="4" t="str">
        <f>""</f>
        <v/>
      </c>
    </row>
    <row r="2566" spans="1:9" x14ac:dyDescent="0.3">
      <c r="A2566" s="1" t="str">
        <f>"67"</f>
        <v>67</v>
      </c>
      <c r="B2566" s="4" t="str">
        <f>"ESKA"</f>
        <v>ESKA</v>
      </c>
      <c r="C2566" s="4">
        <v>558502811</v>
      </c>
      <c r="D2566" s="3" t="s">
        <v>0</v>
      </c>
      <c r="E2566" s="2" t="str">
        <f>"0006701326"</f>
        <v>0006701326</v>
      </c>
      <c r="F2566" s="5">
        <v>43241</v>
      </c>
      <c r="G2566" s="5">
        <v>54789</v>
      </c>
      <c r="H2566" s="4" t="str">
        <f>""</f>
        <v/>
      </c>
      <c r="I2566" s="4" t="str">
        <f>""</f>
        <v/>
      </c>
    </row>
    <row r="2567" spans="1:9" x14ac:dyDescent="0.3">
      <c r="A2567" s="1" t="str">
        <f>"67"</f>
        <v>67</v>
      </c>
      <c r="B2567" s="4" t="str">
        <f>"ESKA"</f>
        <v>ESKA</v>
      </c>
      <c r="C2567" s="4">
        <v>558502811</v>
      </c>
      <c r="D2567" s="3" t="s">
        <v>0</v>
      </c>
      <c r="E2567" s="2" t="str">
        <f>"PR6700003B"</f>
        <v>PR6700003B</v>
      </c>
      <c r="F2567" s="5">
        <v>44285</v>
      </c>
      <c r="G2567" s="5">
        <v>54789</v>
      </c>
      <c r="H2567" s="4" t="str">
        <f>""</f>
        <v/>
      </c>
      <c r="I2567" s="4" t="str">
        <f>""</f>
        <v/>
      </c>
    </row>
    <row r="2568" spans="1:9" x14ac:dyDescent="0.3">
      <c r="A2568" s="1" t="str">
        <f>"67"</f>
        <v>67</v>
      </c>
      <c r="B2568" s="4" t="str">
        <f>"ESKA"</f>
        <v>ESKA</v>
      </c>
      <c r="C2568" s="4">
        <v>558502811</v>
      </c>
      <c r="D2568" s="3" t="s">
        <v>0</v>
      </c>
      <c r="E2568" s="2" t="str">
        <f>"PR6700003D"</f>
        <v>PR6700003D</v>
      </c>
      <c r="F2568" s="5">
        <v>44285</v>
      </c>
      <c r="G2568" s="5">
        <v>54789</v>
      </c>
      <c r="H2568" s="4" t="str">
        <f>""</f>
        <v/>
      </c>
      <c r="I2568" s="4" t="str">
        <f>""</f>
        <v/>
      </c>
    </row>
    <row r="2569" spans="1:9" x14ac:dyDescent="0.3">
      <c r="A2569" s="1" t="str">
        <f>"67"</f>
        <v>67</v>
      </c>
      <c r="B2569" s="4" t="str">
        <f>"ESKA"</f>
        <v>ESKA</v>
      </c>
      <c r="C2569" s="4">
        <v>558502811</v>
      </c>
      <c r="D2569" s="3" t="s">
        <v>0</v>
      </c>
      <c r="E2569" s="2" t="str">
        <f>"PR6700014D"</f>
        <v>PR6700014D</v>
      </c>
      <c r="F2569" s="5">
        <v>43587</v>
      </c>
      <c r="G2569" s="5">
        <v>54789</v>
      </c>
      <c r="H2569" s="4" t="str">
        <f>""</f>
        <v/>
      </c>
      <c r="I2569" s="4" t="str">
        <f>""</f>
        <v/>
      </c>
    </row>
    <row r="2570" spans="1:9" x14ac:dyDescent="0.3">
      <c r="A2570" s="1" t="str">
        <f>"67"</f>
        <v>67</v>
      </c>
      <c r="B2570" s="4" t="str">
        <f>"ESKA"</f>
        <v>ESKA</v>
      </c>
      <c r="C2570" s="4">
        <v>558502811</v>
      </c>
      <c r="D2570" s="3" t="s">
        <v>0</v>
      </c>
      <c r="E2570" s="2" t="str">
        <f>"0006701600"</f>
        <v>0006701600</v>
      </c>
      <c r="F2570" s="5">
        <v>43587</v>
      </c>
      <c r="G2570" s="5">
        <v>54789</v>
      </c>
      <c r="H2570" s="4" t="str">
        <f>""</f>
        <v/>
      </c>
      <c r="I2570" s="4" t="str">
        <f>""</f>
        <v/>
      </c>
    </row>
    <row r="2571" spans="1:9" x14ac:dyDescent="0.3">
      <c r="A2571" s="1" t="str">
        <f>"67"</f>
        <v>67</v>
      </c>
      <c r="B2571" s="4" t="str">
        <f>"ESKA"</f>
        <v>ESKA</v>
      </c>
      <c r="C2571" s="4">
        <v>558502811</v>
      </c>
      <c r="D2571" s="3" t="s">
        <v>0</v>
      </c>
      <c r="E2571" s="2" t="str">
        <f>"PR6700020D"</f>
        <v>PR6700020D</v>
      </c>
      <c r="F2571" s="5">
        <v>41848</v>
      </c>
      <c r="G2571" s="5">
        <v>54789</v>
      </c>
      <c r="H2571" s="4" t="str">
        <f>""</f>
        <v/>
      </c>
      <c r="I2571" s="4" t="str">
        <f>""</f>
        <v/>
      </c>
    </row>
    <row r="2572" spans="1:9" x14ac:dyDescent="0.3">
      <c r="A2572" s="1" t="str">
        <f>"67"</f>
        <v>67</v>
      </c>
      <c r="B2572" s="4" t="str">
        <f>"ESKA"</f>
        <v>ESKA</v>
      </c>
      <c r="C2572" s="4">
        <v>558502811</v>
      </c>
      <c r="D2572" s="3" t="s">
        <v>0</v>
      </c>
      <c r="E2572" s="2" t="str">
        <f>"PR6700020D"</f>
        <v>PR6700020D</v>
      </c>
      <c r="F2572" s="5">
        <v>41848</v>
      </c>
      <c r="G2572" s="5">
        <v>54789</v>
      </c>
      <c r="H2572" s="4" t="str">
        <f>""</f>
        <v/>
      </c>
      <c r="I2572" s="4" t="str">
        <f>""</f>
        <v/>
      </c>
    </row>
    <row r="2573" spans="1:9" x14ac:dyDescent="0.3">
      <c r="A2573" s="1" t="str">
        <f>"67"</f>
        <v>67</v>
      </c>
      <c r="B2573" s="4" t="str">
        <f>"ESKA"</f>
        <v>ESKA</v>
      </c>
      <c r="C2573" s="4">
        <v>558502811</v>
      </c>
      <c r="D2573" s="3" t="s">
        <v>0</v>
      </c>
      <c r="E2573" s="2" t="str">
        <f>"PR6700033D"</f>
        <v>PR6700033D</v>
      </c>
      <c r="F2573" s="5">
        <v>43815</v>
      </c>
      <c r="G2573" s="5">
        <v>54789</v>
      </c>
      <c r="H2573" s="4" t="str">
        <f>""</f>
        <v/>
      </c>
      <c r="I2573" s="4" t="str">
        <f>""</f>
        <v/>
      </c>
    </row>
    <row r="2574" spans="1:9" x14ac:dyDescent="0.3">
      <c r="A2574" s="1" t="str">
        <f>"67"</f>
        <v>67</v>
      </c>
      <c r="B2574" s="4" t="str">
        <f>"ESKA"</f>
        <v>ESKA</v>
      </c>
      <c r="C2574" s="4">
        <v>558502811</v>
      </c>
      <c r="D2574" s="3" t="s">
        <v>0</v>
      </c>
      <c r="E2574" s="2" t="str">
        <f>"PR6700033D"</f>
        <v>PR6700033D</v>
      </c>
      <c r="F2574" s="5">
        <v>43815</v>
      </c>
      <c r="G2574" s="5">
        <v>54789</v>
      </c>
      <c r="H2574" s="4" t="str">
        <f>""</f>
        <v/>
      </c>
      <c r="I2574" s="4" t="str">
        <f>""</f>
        <v/>
      </c>
    </row>
    <row r="2575" spans="1:9" x14ac:dyDescent="0.3">
      <c r="A2575" s="1" t="str">
        <f>"67"</f>
        <v>67</v>
      </c>
      <c r="B2575" s="4" t="str">
        <f>"ECO-CASSE"</f>
        <v>ECO-CASSE</v>
      </c>
      <c r="C2575" s="4">
        <v>638501528</v>
      </c>
      <c r="D2575" s="3" t="s">
        <v>0</v>
      </c>
      <c r="E2575" s="2" t="str">
        <f>"PR6700010D"</f>
        <v>PR6700010D</v>
      </c>
      <c r="F2575" s="5">
        <v>43112</v>
      </c>
      <c r="G2575" s="5">
        <v>54789</v>
      </c>
      <c r="H2575" s="4" t="str">
        <f>""</f>
        <v/>
      </c>
      <c r="I2575" s="4" t="str">
        <f>""</f>
        <v/>
      </c>
    </row>
    <row r="2576" spans="1:9" x14ac:dyDescent="0.3">
      <c r="A2576" s="1" t="str">
        <f>"67"</f>
        <v>67</v>
      </c>
      <c r="B2576" s="4" t="str">
        <f>"ECO-CASSE"</f>
        <v>ECO-CASSE</v>
      </c>
      <c r="C2576" s="4">
        <v>638501528</v>
      </c>
      <c r="D2576" s="3" t="s">
        <v>0</v>
      </c>
      <c r="E2576" s="2" t="str">
        <f>"0006701476"</f>
        <v>0006701476</v>
      </c>
      <c r="F2576" s="5">
        <v>43112</v>
      </c>
      <c r="G2576" s="5">
        <v>54789</v>
      </c>
      <c r="H2576" s="4" t="str">
        <f>""</f>
        <v/>
      </c>
      <c r="I2576" s="4" t="str">
        <f>""</f>
        <v/>
      </c>
    </row>
    <row r="2577" spans="1:9" x14ac:dyDescent="0.3">
      <c r="A2577" s="1" t="str">
        <f>"67"</f>
        <v>67</v>
      </c>
      <c r="B2577" s="4" t="str">
        <f>"GUY DAUPHIN ENVIRONNEMENT"</f>
        <v>GUY DAUPHIN ENVIRONNEMENT</v>
      </c>
      <c r="C2577" s="4">
        <v>653820530</v>
      </c>
      <c r="D2577" s="3" t="s">
        <v>0</v>
      </c>
      <c r="E2577" s="2" t="str">
        <f>"PR6700025D"</f>
        <v>PR6700025D</v>
      </c>
      <c r="F2577" s="5">
        <v>41253</v>
      </c>
      <c r="G2577" s="5">
        <v>54789</v>
      </c>
      <c r="H2577" s="4" t="str">
        <f>""</f>
        <v/>
      </c>
      <c r="I2577" s="4" t="str">
        <f>""</f>
        <v/>
      </c>
    </row>
    <row r="2578" spans="1:9" x14ac:dyDescent="0.3">
      <c r="A2578" s="1" t="str">
        <f>"67"</f>
        <v>67</v>
      </c>
      <c r="B2578" s="4" t="str">
        <f>"HK AUTOMOBILE"</f>
        <v>HK AUTOMOBILE</v>
      </c>
      <c r="C2578" s="4">
        <v>801795725</v>
      </c>
      <c r="D2578" s="3" t="s">
        <v>0</v>
      </c>
      <c r="E2578" s="2" t="str">
        <f>"PR6700013D"</f>
        <v>PR6700013D</v>
      </c>
      <c r="F2578" s="5">
        <v>42489</v>
      </c>
      <c r="G2578" s="5">
        <v>54789</v>
      </c>
      <c r="H2578" s="4" t="str">
        <f>""</f>
        <v/>
      </c>
      <c r="I2578" s="4" t="str">
        <f>""</f>
        <v/>
      </c>
    </row>
    <row r="2579" spans="1:9" x14ac:dyDescent="0.3">
      <c r="A2579" s="1" t="str">
        <f>"67"</f>
        <v>67</v>
      </c>
      <c r="B2579" s="4" t="str">
        <f>"HK AUTOMOBILE"</f>
        <v>HK AUTOMOBILE</v>
      </c>
      <c r="C2579" s="4">
        <v>801795725</v>
      </c>
      <c r="D2579" s="3" t="s">
        <v>0</v>
      </c>
      <c r="E2579" s="2" t="str">
        <f>"0006701485"</f>
        <v>0006701485</v>
      </c>
      <c r="F2579" s="5">
        <v>42489</v>
      </c>
      <c r="G2579" s="5">
        <v>54789</v>
      </c>
      <c r="H2579" s="4" t="str">
        <f>""</f>
        <v/>
      </c>
      <c r="I2579" s="4" t="str">
        <f>""</f>
        <v/>
      </c>
    </row>
    <row r="2580" spans="1:9" x14ac:dyDescent="0.3">
      <c r="A2580" s="1" t="str">
        <f>"67"</f>
        <v>67</v>
      </c>
      <c r="B2580" s="4" t="str">
        <f>"ECOLOCAR"</f>
        <v>ECOLOCAR</v>
      </c>
      <c r="C2580" s="4">
        <v>815145446</v>
      </c>
      <c r="D2580" s="3" t="s">
        <v>0</v>
      </c>
      <c r="E2580" s="2" t="str">
        <f>"PR6700021D"</f>
        <v>PR6700021D</v>
      </c>
      <c r="F2580" s="5">
        <v>42485</v>
      </c>
      <c r="G2580" s="5">
        <v>54789</v>
      </c>
      <c r="H2580" s="4" t="str">
        <f>""</f>
        <v/>
      </c>
      <c r="I2580" s="4" t="str">
        <f>""</f>
        <v/>
      </c>
    </row>
    <row r="2581" spans="1:9" x14ac:dyDescent="0.3">
      <c r="A2581" s="1" t="str">
        <f>"67"</f>
        <v>67</v>
      </c>
      <c r="B2581" s="4" t="str">
        <f>"ECOLOCAR"</f>
        <v>ECOLOCAR</v>
      </c>
      <c r="C2581" s="4">
        <v>815145446</v>
      </c>
      <c r="D2581" s="3" t="s">
        <v>0</v>
      </c>
      <c r="E2581" s="2" t="str">
        <f>"0006704321"</f>
        <v>0006704321</v>
      </c>
      <c r="F2581" s="5">
        <v>42485</v>
      </c>
      <c r="G2581" s="5">
        <v>54789</v>
      </c>
      <c r="H2581" s="4" t="str">
        <f>""</f>
        <v/>
      </c>
      <c r="I2581" s="4" t="str">
        <f>""</f>
        <v/>
      </c>
    </row>
    <row r="2582" spans="1:9" x14ac:dyDescent="0.3">
      <c r="A2582" s="1" t="str">
        <f>"67"</f>
        <v>67</v>
      </c>
      <c r="B2582" s="4" t="str">
        <f>"FCE"</f>
        <v>FCE</v>
      </c>
      <c r="C2582" s="4">
        <v>831686142</v>
      </c>
      <c r="D2582" s="3" t="s">
        <v>0</v>
      </c>
      <c r="E2582" s="2" t="str">
        <f>"PR6700031D"</f>
        <v>PR6700031D</v>
      </c>
      <c r="F2582" s="5">
        <v>43451</v>
      </c>
      <c r="G2582" s="5">
        <v>54789</v>
      </c>
      <c r="H2582" s="4" t="str">
        <f>""</f>
        <v/>
      </c>
      <c r="I2582" s="4" t="str">
        <f>""</f>
        <v/>
      </c>
    </row>
    <row r="2583" spans="1:9" x14ac:dyDescent="0.3">
      <c r="A2583" s="1" t="str">
        <f>"67"</f>
        <v>67</v>
      </c>
      <c r="B2583" s="4" t="str">
        <f>"ALSA-CYNO-PROTECT-SECURITE ENVIRONNEMENT"</f>
        <v>ALSA-CYNO-PROTECT-SECURITE ENVIRONNEMENT</v>
      </c>
      <c r="C2583" s="4">
        <v>842184673</v>
      </c>
      <c r="D2583" s="3" t="s">
        <v>0</v>
      </c>
      <c r="E2583" s="2" t="str">
        <f>"PR6700034D"</f>
        <v>PR6700034D</v>
      </c>
      <c r="F2583" s="5">
        <v>43963</v>
      </c>
      <c r="G2583" s="5">
        <v>54789</v>
      </c>
      <c r="H2583" s="4" t="str">
        <f>""</f>
        <v/>
      </c>
      <c r="I2583" s="4" t="str">
        <f>""</f>
        <v/>
      </c>
    </row>
    <row r="2584" spans="1:9" x14ac:dyDescent="0.3">
      <c r="A2584" s="1" t="str">
        <f>"67"</f>
        <v>67</v>
      </c>
      <c r="B2584" s="4" t="str">
        <f>"RECYCARS"</f>
        <v>RECYCARS</v>
      </c>
      <c r="C2584" s="4">
        <v>847922838</v>
      </c>
      <c r="D2584" s="3" t="s">
        <v>0</v>
      </c>
      <c r="E2584" s="2" t="str">
        <f>"PR6700032D"</f>
        <v>PR6700032D</v>
      </c>
      <c r="F2584" s="5">
        <v>43605</v>
      </c>
      <c r="G2584" s="5">
        <v>54789</v>
      </c>
      <c r="H2584" s="4" t="str">
        <f>""</f>
        <v/>
      </c>
      <c r="I2584" s="4" t="str">
        <f>""</f>
        <v/>
      </c>
    </row>
    <row r="2585" spans="1:9" x14ac:dyDescent="0.3">
      <c r="A2585" s="1" t="str">
        <f>"67"</f>
        <v>67</v>
      </c>
      <c r="B2585" s="4" t="str">
        <f>"RECYCARS"</f>
        <v>RECYCARS</v>
      </c>
      <c r="C2585" s="4">
        <v>847922838</v>
      </c>
      <c r="D2585" s="3" t="s">
        <v>0</v>
      </c>
      <c r="E2585" s="2" t="str">
        <f>"0003013765"</f>
        <v>0003013765</v>
      </c>
      <c r="F2585" s="5">
        <v>43605</v>
      </c>
      <c r="G2585" s="5">
        <v>54789</v>
      </c>
      <c r="H2585" s="4" t="str">
        <f>""</f>
        <v/>
      </c>
      <c r="I2585" s="4" t="str">
        <f>""</f>
        <v/>
      </c>
    </row>
    <row r="2586" spans="1:9" x14ac:dyDescent="0.3">
      <c r="A2586" s="1" t="str">
        <f>"67"</f>
        <v>67</v>
      </c>
      <c r="B2586" s="4" t="str">
        <f>"LA PIECE AUT'OCCASION"</f>
        <v>LA PIECE AUT'OCCASION</v>
      </c>
      <c r="C2586" s="4">
        <v>848978789</v>
      </c>
      <c r="D2586" s="3" t="s">
        <v>0</v>
      </c>
      <c r="E2586" s="2" t="str">
        <f>"PR6700036D"</f>
        <v>PR6700036D</v>
      </c>
      <c r="F2586" s="5">
        <v>44547</v>
      </c>
      <c r="G2586" s="5">
        <v>54789</v>
      </c>
      <c r="H2586" s="4" t="str">
        <f>""</f>
        <v/>
      </c>
      <c r="I2586" s="4" t="str">
        <f>""</f>
        <v/>
      </c>
    </row>
    <row r="2587" spans="1:9" x14ac:dyDescent="0.3">
      <c r="A2587" s="1" t="str">
        <f>"67"</f>
        <v>67</v>
      </c>
      <c r="B2587" s="4" t="str">
        <f>"ALGALE SAS"</f>
        <v>ALGALE SAS</v>
      </c>
      <c r="C2587" s="4">
        <v>901610535</v>
      </c>
      <c r="D2587" s="3" t="s">
        <v>0</v>
      </c>
      <c r="E2587" s="2" t="str">
        <f>"PR6700035D"</f>
        <v>PR6700035D</v>
      </c>
      <c r="F2587" s="5">
        <v>44411</v>
      </c>
      <c r="G2587" s="5">
        <v>54789</v>
      </c>
      <c r="H2587" s="4" t="str">
        <f>""</f>
        <v/>
      </c>
      <c r="I2587" s="4" t="str">
        <f>""</f>
        <v/>
      </c>
    </row>
    <row r="2588" spans="1:9" x14ac:dyDescent="0.3">
      <c r="A2588" s="1" t="str">
        <f>"67"</f>
        <v>67</v>
      </c>
      <c r="B2588" s="4" t="str">
        <f>"ALGALE SAS"</f>
        <v>ALGALE SAS</v>
      </c>
      <c r="C2588" s="4">
        <v>901610535</v>
      </c>
      <c r="D2588" s="3" t="s">
        <v>0</v>
      </c>
      <c r="E2588" s="2" t="str">
        <f>"0003015078"</f>
        <v>0003015078</v>
      </c>
      <c r="F2588" s="5">
        <v>44411</v>
      </c>
      <c r="G2588" s="5">
        <v>54789</v>
      </c>
      <c r="H2588" s="4" t="str">
        <f>""</f>
        <v/>
      </c>
      <c r="I2588" s="4" t="str">
        <f>""</f>
        <v/>
      </c>
    </row>
    <row r="2589" spans="1:9" x14ac:dyDescent="0.3">
      <c r="A2589" s="1" t="str">
        <f>"67"</f>
        <v>67</v>
      </c>
      <c r="B2589" s="4" t="str">
        <f>"ALGALE SAS"</f>
        <v>ALGALE SAS</v>
      </c>
      <c r="C2589" s="4">
        <v>901610535</v>
      </c>
      <c r="D2589" s="3" t="s">
        <v>0</v>
      </c>
      <c r="E2589" s="2" t="str">
        <f>"PR6700037D"</f>
        <v>PR6700037D</v>
      </c>
      <c r="F2589" s="5">
        <v>44553</v>
      </c>
      <c r="G2589" s="5">
        <v>54789</v>
      </c>
      <c r="H2589" s="4" t="str">
        <f>""</f>
        <v/>
      </c>
      <c r="I2589" s="4" t="str">
        <f>""</f>
        <v/>
      </c>
    </row>
    <row r="2590" spans="1:9" x14ac:dyDescent="0.3">
      <c r="A2590" s="1" t="str">
        <f>"67"</f>
        <v>67</v>
      </c>
      <c r="B2590" s="4" t="str">
        <f>"ALGALE SAS"</f>
        <v>ALGALE SAS</v>
      </c>
      <c r="C2590" s="4">
        <v>901610535</v>
      </c>
      <c r="D2590" s="3" t="s">
        <v>0</v>
      </c>
      <c r="E2590" s="2" t="str">
        <f>"0003015078"</f>
        <v>0003015078</v>
      </c>
      <c r="F2590" s="5">
        <v>44553</v>
      </c>
      <c r="G2590" s="5">
        <v>54789</v>
      </c>
      <c r="H2590" s="4" t="str">
        <f>""</f>
        <v/>
      </c>
      <c r="I2590" s="4" t="str">
        <f>""</f>
        <v/>
      </c>
    </row>
    <row r="2591" spans="1:9" x14ac:dyDescent="0.3">
      <c r="A2591" s="1" t="str">
        <f>"67"</f>
        <v>67</v>
      </c>
      <c r="B2591" s="4" t="str">
        <f>"KAR CASSE"</f>
        <v>KAR CASSE</v>
      </c>
      <c r="C2591" s="4">
        <v>904695582</v>
      </c>
      <c r="D2591" s="3" t="s">
        <v>0</v>
      </c>
      <c r="E2591" s="2" t="str">
        <f>"PR6700008D"</f>
        <v>PR6700008D</v>
      </c>
      <c r="F2591" s="5">
        <v>45154</v>
      </c>
      <c r="G2591" s="5">
        <v>54789</v>
      </c>
      <c r="H2591" s="4" t="str">
        <f>""</f>
        <v/>
      </c>
      <c r="I2591" s="4" t="str">
        <f>""</f>
        <v/>
      </c>
    </row>
    <row r="2592" spans="1:9" x14ac:dyDescent="0.3">
      <c r="A2592" s="1" t="str">
        <f>"67"</f>
        <v>67</v>
      </c>
      <c r="B2592" s="4" t="str">
        <f>"KAR CASSE"</f>
        <v>KAR CASSE</v>
      </c>
      <c r="C2592" s="4">
        <v>904695582</v>
      </c>
      <c r="D2592" s="3" t="s">
        <v>0</v>
      </c>
      <c r="E2592" s="2" t="str">
        <f>"0006704198"</f>
        <v>0006704198</v>
      </c>
      <c r="F2592" s="5">
        <v>45154</v>
      </c>
      <c r="G2592" s="5">
        <v>54789</v>
      </c>
      <c r="H2592" s="4" t="str">
        <f>""</f>
        <v/>
      </c>
      <c r="I2592" s="4" t="str">
        <f>""</f>
        <v/>
      </c>
    </row>
    <row r="2593" spans="1:9" x14ac:dyDescent="0.3">
      <c r="A2593" s="1" t="str">
        <f>"67"</f>
        <v>67</v>
      </c>
      <c r="B2593" s="4" t="str">
        <f>"CASSE DENIS"</f>
        <v>CASSE DENIS</v>
      </c>
      <c r="C2593" s="4">
        <v>907556187</v>
      </c>
      <c r="D2593" s="3" t="s">
        <v>0</v>
      </c>
      <c r="E2593" s="2" t="str">
        <f>"PR6700017D"</f>
        <v>PR6700017D</v>
      </c>
      <c r="F2593" s="5">
        <v>44720</v>
      </c>
      <c r="G2593" s="5">
        <v>54789</v>
      </c>
      <c r="H2593" s="4" t="str">
        <f>""</f>
        <v/>
      </c>
      <c r="I2593" s="4" t="str">
        <f>""</f>
        <v/>
      </c>
    </row>
    <row r="2594" spans="1:9" x14ac:dyDescent="0.3">
      <c r="A2594" s="1" t="str">
        <f>"67"</f>
        <v>67</v>
      </c>
      <c r="B2594" s="4" t="str">
        <f>"CASSE DENIS"</f>
        <v>CASSE DENIS</v>
      </c>
      <c r="C2594" s="4">
        <v>907556187</v>
      </c>
      <c r="D2594" s="3" t="s">
        <v>0</v>
      </c>
      <c r="E2594" s="2" t="str">
        <f>"0006702562"</f>
        <v>0006702562</v>
      </c>
      <c r="F2594" s="5">
        <v>44720</v>
      </c>
      <c r="G2594" s="5">
        <v>54789</v>
      </c>
      <c r="H2594" s="4" t="str">
        <f>""</f>
        <v/>
      </c>
      <c r="I2594" s="4" t="str">
        <f>""</f>
        <v/>
      </c>
    </row>
    <row r="2595" spans="1:9" x14ac:dyDescent="0.3">
      <c r="A2595" s="1" t="str">
        <f>"68"</f>
        <v>68</v>
      </c>
      <c r="B2595" s="4" t="str">
        <f>"Est Recyclage Automobile"</f>
        <v>Est Recyclage Automobile</v>
      </c>
      <c r="C2595" s="4">
        <v>91280039</v>
      </c>
      <c r="D2595" s="3" t="s">
        <v>0</v>
      </c>
      <c r="E2595" s="2" t="str">
        <f>"PR6800034D"</f>
        <v>PR6800034D</v>
      </c>
      <c r="F2595" s="5">
        <v>44755</v>
      </c>
      <c r="G2595" s="5">
        <v>54789</v>
      </c>
      <c r="H2595" s="4" t="str">
        <f>""</f>
        <v/>
      </c>
      <c r="I2595" s="4" t="str">
        <f>""</f>
        <v/>
      </c>
    </row>
    <row r="2596" spans="1:9" x14ac:dyDescent="0.3">
      <c r="A2596" s="1" t="str">
        <f>"68"</f>
        <v>68</v>
      </c>
      <c r="B2596" s="4" t="str">
        <f>"NVA"</f>
        <v>NVA</v>
      </c>
      <c r="C2596" s="4">
        <v>349981704</v>
      </c>
      <c r="D2596" s="3" t="s">
        <v>0</v>
      </c>
      <c r="E2596" s="2" t="str">
        <f>"0006704504"</f>
        <v>0006704504</v>
      </c>
      <c r="F2596" s="5">
        <v>44777</v>
      </c>
      <c r="G2596" s="5">
        <v>54789</v>
      </c>
      <c r="H2596" s="4" t="str">
        <f>""</f>
        <v/>
      </c>
      <c r="I2596" s="4" t="str">
        <f>""</f>
        <v/>
      </c>
    </row>
    <row r="2597" spans="1:9" x14ac:dyDescent="0.3">
      <c r="A2597" s="1" t="str">
        <f>"68"</f>
        <v>68</v>
      </c>
      <c r="B2597" s="4" t="str">
        <f>"CERNAY ENVIRONNEMENT"</f>
        <v>CERNAY ENVIRONNEMENT</v>
      </c>
      <c r="C2597" s="4">
        <v>389858077</v>
      </c>
      <c r="D2597" s="3" t="s">
        <v>0</v>
      </c>
      <c r="E2597" s="2" t="str">
        <f>"PR6800004D"</f>
        <v>PR6800004D</v>
      </c>
      <c r="F2597" s="5">
        <v>41333</v>
      </c>
      <c r="G2597" s="5">
        <v>54789</v>
      </c>
      <c r="H2597" s="4" t="str">
        <f>""</f>
        <v/>
      </c>
      <c r="I2597" s="4" t="str">
        <f>""</f>
        <v/>
      </c>
    </row>
    <row r="2598" spans="1:9" x14ac:dyDescent="0.3">
      <c r="A2598" s="1" t="str">
        <f>"68"</f>
        <v>68</v>
      </c>
      <c r="B2598" s="4" t="str">
        <f>"SOPPE VEHICULES INDUSTRIELS"</f>
        <v>SOPPE VEHICULES INDUSTRIELS</v>
      </c>
      <c r="C2598" s="4">
        <v>452360365</v>
      </c>
      <c r="D2598" s="3" t="s">
        <v>0</v>
      </c>
      <c r="E2598" s="2" t="str">
        <f>"PR6800010D"</f>
        <v>PR6800010D</v>
      </c>
      <c r="F2598" s="5">
        <v>43629</v>
      </c>
      <c r="G2598" s="5">
        <v>54789</v>
      </c>
      <c r="H2598" s="4" t="str">
        <f>""</f>
        <v/>
      </c>
      <c r="I2598" s="4" t="str">
        <f>""</f>
        <v/>
      </c>
    </row>
    <row r="2599" spans="1:9" x14ac:dyDescent="0.3">
      <c r="A2599" s="1" t="str">
        <f>"68"</f>
        <v>68</v>
      </c>
      <c r="B2599" s="4" t="str">
        <f>"AUTO ASSISTANCE SCHMITT"</f>
        <v>AUTO ASSISTANCE SCHMITT</v>
      </c>
      <c r="C2599" s="4">
        <v>491026498</v>
      </c>
      <c r="D2599" s="3" t="s">
        <v>0</v>
      </c>
      <c r="E2599" s="2" t="str">
        <f>"0006704465"</f>
        <v>0006704465</v>
      </c>
      <c r="F2599" s="5">
        <v>43929</v>
      </c>
      <c r="G2599" s="5">
        <v>54789</v>
      </c>
      <c r="H2599" s="4" t="str">
        <f>""</f>
        <v/>
      </c>
      <c r="I2599" s="4" t="str">
        <f>""</f>
        <v/>
      </c>
    </row>
    <row r="2600" spans="1:9" x14ac:dyDescent="0.3">
      <c r="A2600" s="1" t="str">
        <f>"68"</f>
        <v>68</v>
      </c>
      <c r="B2600" s="4" t="str">
        <f>"AUTO ASSISTANCE SCHMITT SARL"</f>
        <v>AUTO ASSISTANCE SCHMITT SARL</v>
      </c>
      <c r="C2600" s="4">
        <v>491026498</v>
      </c>
      <c r="D2600" s="3" t="s">
        <v>0</v>
      </c>
      <c r="E2600" s="2" t="str">
        <f>"PR6800015D"</f>
        <v>PR6800015D</v>
      </c>
      <c r="F2600" s="5">
        <v>39560</v>
      </c>
      <c r="G2600" s="5">
        <v>54789</v>
      </c>
      <c r="H2600" s="4" t="str">
        <f>""</f>
        <v/>
      </c>
      <c r="I2600" s="4" t="str">
        <f>""</f>
        <v/>
      </c>
    </row>
    <row r="2601" spans="1:9" x14ac:dyDescent="0.3">
      <c r="A2601" s="1" t="str">
        <f>"68"</f>
        <v>68</v>
      </c>
      <c r="B2601" s="4" t="str">
        <f>"THOMAS AUTOMOBILES"</f>
        <v>THOMAS AUTOMOBILES</v>
      </c>
      <c r="C2601" s="4">
        <v>502246242</v>
      </c>
      <c r="D2601" s="3" t="s">
        <v>0</v>
      </c>
      <c r="E2601" s="2" t="str">
        <f>"0006705316"</f>
        <v>0006705316</v>
      </c>
      <c r="F2601" s="5">
        <v>41655</v>
      </c>
      <c r="G2601" s="5">
        <v>54789</v>
      </c>
      <c r="H2601" s="4" t="str">
        <f>""</f>
        <v/>
      </c>
      <c r="I2601" s="4" t="str">
        <f>""</f>
        <v/>
      </c>
    </row>
    <row r="2602" spans="1:9" x14ac:dyDescent="0.3">
      <c r="A2602" s="1" t="str">
        <f>"68"</f>
        <v>68</v>
      </c>
      <c r="B2602" s="4" t="str">
        <f>"THOMAS AUTOMOBILES"</f>
        <v>THOMAS AUTOMOBILES</v>
      </c>
      <c r="C2602" s="4">
        <v>502246242</v>
      </c>
      <c r="D2602" s="3" t="s">
        <v>0</v>
      </c>
      <c r="E2602" s="2" t="str">
        <f>"PR6800021D"</f>
        <v>PR6800021D</v>
      </c>
      <c r="F2602" s="5">
        <v>40865</v>
      </c>
      <c r="G2602" s="5">
        <v>54789</v>
      </c>
      <c r="H2602" s="4" t="str">
        <f>""</f>
        <v/>
      </c>
      <c r="I2602" s="4" t="str">
        <f>""</f>
        <v/>
      </c>
    </row>
    <row r="2603" spans="1:9" x14ac:dyDescent="0.3">
      <c r="A2603" s="1" t="str">
        <f>"68"</f>
        <v>68</v>
      </c>
      <c r="B2603" s="4" t="str">
        <f>"MJC AUTOS"</f>
        <v>MJC AUTOS</v>
      </c>
      <c r="C2603" s="4">
        <v>505383687</v>
      </c>
      <c r="D2603" s="3" t="s">
        <v>0</v>
      </c>
      <c r="E2603" s="2" t="str">
        <f>"PR6800007D"</f>
        <v>PR6800007D</v>
      </c>
      <c r="F2603" s="5">
        <v>41930</v>
      </c>
      <c r="G2603" s="5">
        <v>54789</v>
      </c>
      <c r="H2603" s="4" t="str">
        <f>""</f>
        <v/>
      </c>
      <c r="I2603" s="4" t="str">
        <f>""</f>
        <v/>
      </c>
    </row>
    <row r="2604" spans="1:9" x14ac:dyDescent="0.3">
      <c r="A2604" s="1" t="str">
        <f>"68"</f>
        <v>68</v>
      </c>
      <c r="B2604" s="4" t="str">
        <f>"LITZLER"</f>
        <v>LITZLER</v>
      </c>
      <c r="C2604" s="4">
        <v>532288073</v>
      </c>
      <c r="D2604" s="3" t="s">
        <v>0</v>
      </c>
      <c r="E2604" s="2" t="str">
        <f>"PR6800018D"</f>
        <v>PR6800018D</v>
      </c>
      <c r="F2604" s="5">
        <v>42307</v>
      </c>
      <c r="G2604" s="5">
        <v>54789</v>
      </c>
      <c r="H2604" s="4" t="str">
        <f>""</f>
        <v/>
      </c>
      <c r="I2604" s="4" t="str">
        <f>""</f>
        <v/>
      </c>
    </row>
    <row r="2605" spans="1:9" x14ac:dyDescent="0.3">
      <c r="A2605" s="1" t="str">
        <f>"68"</f>
        <v>68</v>
      </c>
      <c r="B2605" s="4" t="str">
        <f>"LITZLER"</f>
        <v>LITZLER</v>
      </c>
      <c r="C2605" s="4">
        <v>532288073</v>
      </c>
      <c r="D2605" s="3" t="s">
        <v>0</v>
      </c>
      <c r="E2605" s="2" t="str">
        <f>"0006704806"</f>
        <v>0006704806</v>
      </c>
      <c r="F2605" s="5">
        <v>42307</v>
      </c>
      <c r="G2605" s="5">
        <v>54789</v>
      </c>
      <c r="H2605" s="4" t="str">
        <f>""</f>
        <v/>
      </c>
      <c r="I2605" s="4" t="str">
        <f>""</f>
        <v/>
      </c>
    </row>
    <row r="2606" spans="1:9" x14ac:dyDescent="0.3">
      <c r="A2606" s="1" t="str">
        <f>"68"</f>
        <v>68</v>
      </c>
      <c r="B2606" s="4" t="str">
        <f>"ESKA"</f>
        <v>ESKA</v>
      </c>
      <c r="C2606" s="4">
        <v>558502811</v>
      </c>
      <c r="D2606" s="3" t="s">
        <v>0</v>
      </c>
      <c r="E2606" s="2" t="str">
        <f>"PR6800029D"</f>
        <v>PR6800029D</v>
      </c>
      <c r="F2606" s="5">
        <v>42800</v>
      </c>
      <c r="G2606" s="5">
        <v>54789</v>
      </c>
      <c r="H2606" s="4" t="str">
        <f>""</f>
        <v/>
      </c>
      <c r="I2606" s="4" t="str">
        <f>""</f>
        <v/>
      </c>
    </row>
    <row r="2607" spans="1:9" x14ac:dyDescent="0.3">
      <c r="A2607" s="1" t="str">
        <f>"68"</f>
        <v>68</v>
      </c>
      <c r="B2607" s="4" t="str">
        <f>"METALIFER GROUPE ECORE"</f>
        <v>METALIFER GROUPE ECORE</v>
      </c>
      <c r="C2607" s="4">
        <v>653820530</v>
      </c>
      <c r="D2607" s="3" t="s">
        <v>0</v>
      </c>
      <c r="E2607" s="2" t="str">
        <f>"PR6800023D"</f>
        <v>PR6800023D</v>
      </c>
      <c r="F2607" s="5">
        <v>43493</v>
      </c>
      <c r="G2607" s="5">
        <v>54789</v>
      </c>
      <c r="H2607" s="4" t="str">
        <f>""</f>
        <v/>
      </c>
      <c r="I2607" s="4" t="str">
        <f>""</f>
        <v/>
      </c>
    </row>
    <row r="2608" spans="1:9" x14ac:dyDescent="0.3">
      <c r="A2608" s="1" t="str">
        <f>"68"</f>
        <v>68</v>
      </c>
      <c r="B2608" s="4" t="str">
        <f>"GARAGE LEADER"</f>
        <v>GARAGE LEADER</v>
      </c>
      <c r="C2608" s="4">
        <v>752012229</v>
      </c>
      <c r="D2608" s="3" t="s">
        <v>0</v>
      </c>
      <c r="E2608" s="2" t="str">
        <f>"PR6800028D"</f>
        <v>PR6800028D</v>
      </c>
      <c r="F2608" s="5">
        <v>42290</v>
      </c>
      <c r="G2608" s="5">
        <v>54789</v>
      </c>
      <c r="H2608" s="4" t="str">
        <f>""</f>
        <v/>
      </c>
      <c r="I2608" s="4" t="str">
        <f>""</f>
        <v/>
      </c>
    </row>
    <row r="2609" spans="1:9" x14ac:dyDescent="0.3">
      <c r="A2609" s="1" t="str">
        <f>"68"</f>
        <v>68</v>
      </c>
      <c r="B2609" s="4" t="str">
        <f>"DESO S CAR"</f>
        <v>DESO S CAR</v>
      </c>
      <c r="C2609" s="4">
        <v>793494691</v>
      </c>
      <c r="D2609" s="3" t="s">
        <v>0</v>
      </c>
      <c r="E2609" s="2" t="str">
        <f>"PR6800026D"</f>
        <v>PR6800026D</v>
      </c>
      <c r="F2609" s="5">
        <v>41555</v>
      </c>
      <c r="G2609" s="5">
        <v>54789</v>
      </c>
      <c r="H2609" s="4" t="str">
        <f>""</f>
        <v/>
      </c>
      <c r="I2609" s="4" t="str">
        <f>""</f>
        <v/>
      </c>
    </row>
    <row r="2610" spans="1:9" x14ac:dyDescent="0.3">
      <c r="A2610" s="1" t="str">
        <f>"68"</f>
        <v>68</v>
      </c>
      <c r="B2610" s="4" t="str">
        <f>"DESO S CAR"</f>
        <v>DESO S CAR</v>
      </c>
      <c r="C2610" s="4">
        <v>793494691</v>
      </c>
      <c r="D2610" s="3" t="s">
        <v>0</v>
      </c>
      <c r="E2610" s="2" t="str">
        <f>"0006702069"</f>
        <v>0006702069</v>
      </c>
      <c r="F2610" s="5">
        <v>41555</v>
      </c>
      <c r="G2610" s="5">
        <v>54789</v>
      </c>
      <c r="H2610" s="4" t="str">
        <f>""</f>
        <v/>
      </c>
      <c r="I2610" s="4" t="str">
        <f>""</f>
        <v/>
      </c>
    </row>
    <row r="2611" spans="1:9" x14ac:dyDescent="0.3">
      <c r="A2611" s="1" t="str">
        <f>"68"</f>
        <v>68</v>
      </c>
      <c r="B2611" s="4" t="str">
        <f>"SVI"</f>
        <v>SVI</v>
      </c>
      <c r="C2611" s="4">
        <v>804703007</v>
      </c>
      <c r="D2611" s="3" t="s">
        <v>0</v>
      </c>
      <c r="E2611" s="2" t="str">
        <f>"PR6800027D"</f>
        <v>PR6800027D</v>
      </c>
      <c r="F2611" s="5">
        <v>41942</v>
      </c>
      <c r="G2611" s="5">
        <v>54789</v>
      </c>
      <c r="H2611" s="4" t="str">
        <f>""</f>
        <v/>
      </c>
      <c r="I2611" s="4" t="str">
        <f>""</f>
        <v/>
      </c>
    </row>
    <row r="2612" spans="1:9" x14ac:dyDescent="0.3">
      <c r="A2612" s="1" t="str">
        <f>"68"</f>
        <v>68</v>
      </c>
      <c r="B2612" s="4" t="str">
        <f>"BLODELSHEIM ENVIRONNEMENT"</f>
        <v>BLODELSHEIM ENVIRONNEMENT</v>
      </c>
      <c r="C2612" s="4">
        <v>832169270</v>
      </c>
      <c r="D2612" s="3" t="s">
        <v>0</v>
      </c>
      <c r="E2612" s="2" t="str">
        <f>"PR6800030D"</f>
        <v>PR6800030D</v>
      </c>
      <c r="F2612" s="5">
        <v>43162</v>
      </c>
      <c r="G2612" s="5">
        <v>54789</v>
      </c>
      <c r="H2612" s="4" t="str">
        <f>""</f>
        <v/>
      </c>
      <c r="I2612" s="4" t="str">
        <f>""</f>
        <v/>
      </c>
    </row>
    <row r="2613" spans="1:9" x14ac:dyDescent="0.3">
      <c r="A2613" s="1" t="str">
        <f>"68"</f>
        <v>68</v>
      </c>
      <c r="B2613" s="4" t="str">
        <f>"BLODELSHEIM ENVIRONNEMENT"</f>
        <v>BLODELSHEIM ENVIRONNEMENT</v>
      </c>
      <c r="C2613" s="4">
        <v>832169270</v>
      </c>
      <c r="D2613" s="3" t="s">
        <v>0</v>
      </c>
      <c r="E2613" s="2" t="str">
        <f>"0006705102"</f>
        <v>0006705102</v>
      </c>
      <c r="F2613" s="5">
        <v>43162</v>
      </c>
      <c r="G2613" s="5">
        <v>54789</v>
      </c>
      <c r="H2613" s="4" t="str">
        <f>""</f>
        <v/>
      </c>
      <c r="I2613" s="4" t="str">
        <f>""</f>
        <v/>
      </c>
    </row>
    <row r="2614" spans="1:9" x14ac:dyDescent="0.3">
      <c r="A2614" s="1" t="str">
        <f>"68"</f>
        <v>68</v>
      </c>
      <c r="B2614" s="4" t="str">
        <f>"garage Lucien FISCHER"</f>
        <v>garage Lucien FISCHER</v>
      </c>
      <c r="C2614" s="4">
        <v>916710494</v>
      </c>
      <c r="D2614" s="3" t="s">
        <v>0</v>
      </c>
      <c r="E2614" s="2" t="str">
        <f>"0006702092"</f>
        <v>0006702092</v>
      </c>
      <c r="F2614" s="5">
        <v>43083</v>
      </c>
      <c r="G2614" s="5">
        <v>54789</v>
      </c>
      <c r="H2614" s="4" t="str">
        <f>""</f>
        <v/>
      </c>
      <c r="I2614" s="4" t="str">
        <f>""</f>
        <v/>
      </c>
    </row>
    <row r="2615" spans="1:9" x14ac:dyDescent="0.3">
      <c r="A2615" s="1" t="str">
        <f>"69"</f>
        <v>69</v>
      </c>
      <c r="B2615" s="4" t="str">
        <f>"MUNOZ"</f>
        <v>MUNOZ</v>
      </c>
      <c r="C2615" s="4">
        <v>313002149</v>
      </c>
      <c r="D2615" s="3" t="s">
        <v>0</v>
      </c>
      <c r="E2615" s="2" t="str">
        <f>"0010600119"</f>
        <v>0010600119</v>
      </c>
      <c r="F2615" s="5">
        <v>43444</v>
      </c>
      <c r="G2615" s="5">
        <v>54789</v>
      </c>
      <c r="H2615" s="4" t="str">
        <f>""</f>
        <v/>
      </c>
      <c r="I2615" s="4" t="str">
        <f>""</f>
        <v/>
      </c>
    </row>
    <row r="2616" spans="1:9" x14ac:dyDescent="0.3">
      <c r="A2616" s="1" t="str">
        <f>"69"</f>
        <v>69</v>
      </c>
      <c r="B2616" s="4" t="str">
        <f>"MUNOZ"</f>
        <v>MUNOZ</v>
      </c>
      <c r="C2616" s="4">
        <v>313002149</v>
      </c>
      <c r="D2616" s="3" t="s">
        <v>0</v>
      </c>
      <c r="E2616" s="2" t="str">
        <f>"0010600770"</f>
        <v>0010600770</v>
      </c>
      <c r="F2616" s="5">
        <v>42187</v>
      </c>
      <c r="G2616" s="5">
        <v>54789</v>
      </c>
      <c r="H2616" s="4" t="str">
        <f>""</f>
        <v/>
      </c>
      <c r="I2616" s="4" t="str">
        <f>""</f>
        <v/>
      </c>
    </row>
    <row r="2617" spans="1:9" x14ac:dyDescent="0.3">
      <c r="A2617" s="1" t="str">
        <f>"69"</f>
        <v>69</v>
      </c>
      <c r="B2617" s="4" t="str">
        <f>"MUNOZ"</f>
        <v>MUNOZ</v>
      </c>
      <c r="C2617" s="4">
        <v>313002149</v>
      </c>
      <c r="D2617" s="3" t="s">
        <v>0</v>
      </c>
      <c r="E2617" s="2" t="str">
        <f>"PR6900022D"</f>
        <v>PR6900022D</v>
      </c>
      <c r="F2617" s="5">
        <v>39139</v>
      </c>
      <c r="G2617" s="5">
        <v>54789</v>
      </c>
      <c r="H2617" s="4" t="str">
        <f>""</f>
        <v/>
      </c>
      <c r="I2617" s="4" t="str">
        <f>""</f>
        <v/>
      </c>
    </row>
    <row r="2618" spans="1:9" x14ac:dyDescent="0.3">
      <c r="A2618" s="1" t="str">
        <f>"69"</f>
        <v>69</v>
      </c>
      <c r="B2618" s="4" t="str">
        <f>"MUNOZ"</f>
        <v>MUNOZ</v>
      </c>
      <c r="C2618" s="4">
        <v>313002149</v>
      </c>
      <c r="D2618" s="3" t="s">
        <v>0</v>
      </c>
      <c r="E2618" s="2" t="str">
        <f>"PR6900042D"</f>
        <v>PR6900042D</v>
      </c>
      <c r="F2618" s="5">
        <v>42187</v>
      </c>
      <c r="G2618" s="5">
        <v>54789</v>
      </c>
      <c r="H2618" s="4" t="str">
        <f>""</f>
        <v/>
      </c>
      <c r="I2618" s="4" t="str">
        <f>""</f>
        <v/>
      </c>
    </row>
    <row r="2619" spans="1:9" x14ac:dyDescent="0.3">
      <c r="A2619" s="1" t="str">
        <f>"69"</f>
        <v>69</v>
      </c>
      <c r="B2619" s="4" t="str">
        <f>"DEMOLITION SAINT GENOISE"</f>
        <v>DEMOLITION SAINT GENOISE</v>
      </c>
      <c r="C2619" s="4">
        <v>329681712</v>
      </c>
      <c r="D2619" s="3" t="s">
        <v>0</v>
      </c>
      <c r="E2619" s="2" t="str">
        <f>"PR6900006D"</f>
        <v>PR6900006D</v>
      </c>
      <c r="F2619" s="5">
        <v>41177</v>
      </c>
      <c r="G2619" s="5">
        <v>54789</v>
      </c>
      <c r="H2619" s="4" t="str">
        <f>""</f>
        <v/>
      </c>
      <c r="I2619" s="4" t="str">
        <f>""</f>
        <v/>
      </c>
    </row>
    <row r="2620" spans="1:9" x14ac:dyDescent="0.3">
      <c r="A2620" s="1" t="str">
        <f>"69"</f>
        <v>69</v>
      </c>
      <c r="B2620" s="4" t="str">
        <f>"DEMOLITION SAINT GENOISE"</f>
        <v>DEMOLITION SAINT GENOISE</v>
      </c>
      <c r="C2620" s="4">
        <v>329681712</v>
      </c>
      <c r="D2620" s="3" t="s">
        <v>0</v>
      </c>
      <c r="E2620" s="2" t="str">
        <f>"0010600841"</f>
        <v>0010600841</v>
      </c>
      <c r="F2620" s="5">
        <v>43272</v>
      </c>
      <c r="G2620" s="5">
        <v>54789</v>
      </c>
      <c r="H2620" s="4" t="str">
        <f>""</f>
        <v/>
      </c>
      <c r="I2620" s="4" t="str">
        <f>""</f>
        <v/>
      </c>
    </row>
    <row r="2621" spans="1:9" x14ac:dyDescent="0.3">
      <c r="A2621" s="1" t="str">
        <f>"69"</f>
        <v>69</v>
      </c>
      <c r="B2621" s="4" t="str">
        <f>"BERTO"</f>
        <v>BERTO</v>
      </c>
      <c r="C2621" s="4">
        <v>330374547</v>
      </c>
      <c r="D2621" s="3" t="s">
        <v>0</v>
      </c>
      <c r="E2621" s="2" t="str">
        <f>"PR6900001D"</f>
        <v>PR6900001D</v>
      </c>
      <c r="F2621" s="5">
        <v>38855</v>
      </c>
      <c r="G2621" s="5">
        <v>54789</v>
      </c>
      <c r="H2621" s="4" t="str">
        <f>""</f>
        <v/>
      </c>
      <c r="I2621" s="4" t="str">
        <f>""</f>
        <v/>
      </c>
    </row>
    <row r="2622" spans="1:9" x14ac:dyDescent="0.3">
      <c r="A2622" s="1" t="str">
        <f>"69"</f>
        <v>69</v>
      </c>
      <c r="B2622" s="4" t="str">
        <f>"BERTO"</f>
        <v>BERTO</v>
      </c>
      <c r="C2622" s="4">
        <v>330374547</v>
      </c>
      <c r="D2622" s="3" t="s">
        <v>0</v>
      </c>
      <c r="E2622" s="2" t="str">
        <f>"0006103745"</f>
        <v>0006103745</v>
      </c>
      <c r="F2622" s="5">
        <v>43571</v>
      </c>
      <c r="G2622" s="5">
        <v>54789</v>
      </c>
      <c r="H2622" s="4" t="str">
        <f>""</f>
        <v/>
      </c>
      <c r="I2622" s="4" t="str">
        <f>""</f>
        <v/>
      </c>
    </row>
    <row r="2623" spans="1:9" x14ac:dyDescent="0.3">
      <c r="A2623" s="1" t="str">
        <f>"69"</f>
        <v>69</v>
      </c>
      <c r="B2623" s="4" t="str">
        <f>"PURFER"</f>
        <v>PURFER</v>
      </c>
      <c r="C2623" s="4">
        <v>332628171</v>
      </c>
      <c r="D2623" s="3" t="s">
        <v>0</v>
      </c>
      <c r="E2623" s="2" t="str">
        <f>"0006104072"</f>
        <v>0006104072</v>
      </c>
      <c r="F2623" s="5">
        <v>43301</v>
      </c>
      <c r="G2623" s="5">
        <v>54789</v>
      </c>
      <c r="H2623" s="4" t="str">
        <f>""</f>
        <v/>
      </c>
      <c r="I2623" s="4" t="str">
        <f>""</f>
        <v/>
      </c>
    </row>
    <row r="2624" spans="1:9" x14ac:dyDescent="0.3">
      <c r="A2624" s="1" t="str">
        <f>"69"</f>
        <v>69</v>
      </c>
      <c r="B2624" s="4" t="str">
        <f>"PURFER"</f>
        <v>PURFER</v>
      </c>
      <c r="C2624" s="4">
        <v>332628171</v>
      </c>
      <c r="D2624" s="3" t="s">
        <v>0</v>
      </c>
      <c r="E2624" s="2" t="str">
        <f>"0006112037"</f>
        <v>0006112037</v>
      </c>
      <c r="F2624" s="5">
        <v>42738</v>
      </c>
      <c r="G2624" s="5">
        <v>54789</v>
      </c>
      <c r="H2624" s="4" t="str">
        <f>""</f>
        <v/>
      </c>
      <c r="I2624" s="4" t="str">
        <f>""</f>
        <v/>
      </c>
    </row>
    <row r="2625" spans="1:9" x14ac:dyDescent="0.3">
      <c r="A2625" s="1" t="str">
        <f>"69"</f>
        <v>69</v>
      </c>
      <c r="B2625" s="4" t="str">
        <f>"PURFER"</f>
        <v>PURFER</v>
      </c>
      <c r="C2625" s="4">
        <v>332628171</v>
      </c>
      <c r="D2625" s="3" t="s">
        <v>0</v>
      </c>
      <c r="E2625" s="2" t="str">
        <f>"0010600303"</f>
        <v>0010600303</v>
      </c>
      <c r="F2625" s="5">
        <v>38916</v>
      </c>
      <c r="G2625" s="5">
        <v>54789</v>
      </c>
      <c r="H2625" s="4" t="str">
        <f>""</f>
        <v/>
      </c>
      <c r="I2625" s="4" t="str">
        <f>""</f>
        <v/>
      </c>
    </row>
    <row r="2626" spans="1:9" x14ac:dyDescent="0.3">
      <c r="A2626" s="1" t="str">
        <f>"69"</f>
        <v>69</v>
      </c>
      <c r="B2626" s="4" t="str">
        <f>"PURFER"</f>
        <v>PURFER</v>
      </c>
      <c r="C2626" s="4">
        <v>332628171</v>
      </c>
      <c r="D2626" s="3" t="s">
        <v>0</v>
      </c>
      <c r="E2626" s="2" t="str">
        <f>"PR6900012D"</f>
        <v>PR6900012D</v>
      </c>
      <c r="F2626" s="5">
        <v>38916</v>
      </c>
      <c r="G2626" s="5">
        <v>54789</v>
      </c>
      <c r="H2626" s="4" t="str">
        <f>""</f>
        <v/>
      </c>
      <c r="I2626" s="4" t="str">
        <f>""</f>
        <v/>
      </c>
    </row>
    <row r="2627" spans="1:9" x14ac:dyDescent="0.3">
      <c r="A2627" s="1" t="str">
        <f>"69"</f>
        <v>69</v>
      </c>
      <c r="B2627" s="4" t="str">
        <f>"PURFER"</f>
        <v>PURFER</v>
      </c>
      <c r="C2627" s="4">
        <v>332628171</v>
      </c>
      <c r="D2627" s="3" t="s">
        <v>0</v>
      </c>
      <c r="E2627" s="2" t="str">
        <f>"PR6900014D"</f>
        <v>PR6900014D</v>
      </c>
      <c r="F2627" s="5">
        <v>38916</v>
      </c>
      <c r="G2627" s="5">
        <v>54789</v>
      </c>
      <c r="H2627" s="4" t="str">
        <f>""</f>
        <v/>
      </c>
      <c r="I2627" s="4" t="str">
        <f>""</f>
        <v/>
      </c>
    </row>
    <row r="2628" spans="1:9" x14ac:dyDescent="0.3">
      <c r="A2628" s="1" t="str">
        <f>"69"</f>
        <v>69</v>
      </c>
      <c r="B2628" s="4" t="str">
        <f>"PURFER"</f>
        <v>PURFER</v>
      </c>
      <c r="C2628" s="4">
        <v>332628171</v>
      </c>
      <c r="D2628" s="3" t="s">
        <v>0</v>
      </c>
      <c r="E2628" s="2" t="str">
        <f>"PR6900015D"</f>
        <v>PR6900015D</v>
      </c>
      <c r="F2628" s="5">
        <v>38923</v>
      </c>
      <c r="G2628" s="5">
        <v>54789</v>
      </c>
      <c r="H2628" s="4" t="str">
        <f>""</f>
        <v/>
      </c>
      <c r="I2628" s="4" t="str">
        <f>""</f>
        <v/>
      </c>
    </row>
    <row r="2629" spans="1:9" x14ac:dyDescent="0.3">
      <c r="A2629" s="1" t="str">
        <f>"69"</f>
        <v>69</v>
      </c>
      <c r="B2629" s="4" t="str">
        <f>"PURFER"</f>
        <v>PURFER</v>
      </c>
      <c r="C2629" s="4">
        <v>332628171</v>
      </c>
      <c r="D2629" s="3" t="s">
        <v>0</v>
      </c>
      <c r="E2629" s="2" t="str">
        <f>"PR6900047D"</f>
        <v>PR6900047D</v>
      </c>
      <c r="F2629" s="5">
        <v>42738</v>
      </c>
      <c r="G2629" s="5">
        <v>54789</v>
      </c>
      <c r="H2629" s="4" t="str">
        <f>""</f>
        <v/>
      </c>
      <c r="I2629" s="4" t="str">
        <f>""</f>
        <v/>
      </c>
    </row>
    <row r="2630" spans="1:9" x14ac:dyDescent="0.3">
      <c r="A2630" s="1" t="str">
        <f>"69"</f>
        <v>69</v>
      </c>
      <c r="B2630" s="4" t="str">
        <f>"PURFER"</f>
        <v>PURFER</v>
      </c>
      <c r="C2630" s="4">
        <v>332628171</v>
      </c>
      <c r="D2630" s="3" t="s">
        <v>0</v>
      </c>
      <c r="E2630" s="2" t="str">
        <f>"PR6900001B"</f>
        <v>PR6900001B</v>
      </c>
      <c r="F2630" s="5">
        <v>38923</v>
      </c>
      <c r="G2630" s="5">
        <v>54789</v>
      </c>
      <c r="H2630" s="4" t="str">
        <f>""</f>
        <v/>
      </c>
      <c r="I2630" s="4" t="str">
        <f>""</f>
        <v/>
      </c>
    </row>
    <row r="2631" spans="1:9" x14ac:dyDescent="0.3">
      <c r="A2631" s="1" t="str">
        <f>"69"</f>
        <v>69</v>
      </c>
      <c r="B2631" s="4" t="str">
        <f>"PURFER"</f>
        <v>PURFER</v>
      </c>
      <c r="C2631" s="4">
        <v>332628171</v>
      </c>
      <c r="D2631" s="3" t="s">
        <v>0</v>
      </c>
      <c r="E2631" s="2" t="str">
        <f>"0010600150"</f>
        <v>0010600150</v>
      </c>
      <c r="F2631" s="5">
        <v>43224</v>
      </c>
      <c r="G2631" s="5">
        <v>54789</v>
      </c>
      <c r="H2631" s="4" t="str">
        <f>""</f>
        <v/>
      </c>
      <c r="I2631" s="4" t="str">
        <f>""</f>
        <v/>
      </c>
    </row>
    <row r="2632" spans="1:9" x14ac:dyDescent="0.3">
      <c r="A2632" s="1" t="str">
        <f>"69"</f>
        <v>69</v>
      </c>
      <c r="B2632" s="4" t="str">
        <f>"DEMOLITION AUTO CROIX LUIZET"</f>
        <v>DEMOLITION AUTO CROIX LUIZET</v>
      </c>
      <c r="C2632" s="4">
        <v>334582418</v>
      </c>
      <c r="D2632" s="3" t="s">
        <v>0</v>
      </c>
      <c r="E2632" s="2" t="str">
        <f>"0006108427"</f>
        <v>0006108427</v>
      </c>
      <c r="F2632" s="5">
        <v>43556</v>
      </c>
      <c r="G2632" s="5">
        <v>54789</v>
      </c>
      <c r="H2632" s="4" t="str">
        <f>""</f>
        <v/>
      </c>
      <c r="I2632" s="4" t="str">
        <f>""</f>
        <v/>
      </c>
    </row>
    <row r="2633" spans="1:9" x14ac:dyDescent="0.3">
      <c r="A2633" s="1" t="str">
        <f>"69"</f>
        <v>69</v>
      </c>
      <c r="B2633" s="4" t="str">
        <f>"DEMOLITION AUTO CROIX LUIZET"</f>
        <v>DEMOLITION AUTO CROIX LUIZET</v>
      </c>
      <c r="C2633" s="4">
        <v>334582418</v>
      </c>
      <c r="D2633" s="3" t="s">
        <v>0</v>
      </c>
      <c r="E2633" s="2" t="str">
        <f>"PR6900021D"</f>
        <v>PR6900021D</v>
      </c>
      <c r="F2633" s="5">
        <v>41451</v>
      </c>
      <c r="G2633" s="5">
        <v>54789</v>
      </c>
      <c r="H2633" s="4" t="str">
        <f>""</f>
        <v/>
      </c>
      <c r="I2633" s="4" t="str">
        <f>""</f>
        <v/>
      </c>
    </row>
    <row r="2634" spans="1:9" x14ac:dyDescent="0.3">
      <c r="A2634" s="1" t="str">
        <f>"69"</f>
        <v>69</v>
      </c>
      <c r="B2634" s="4" t="str">
        <f>"THB"</f>
        <v>THB</v>
      </c>
      <c r="C2634" s="4">
        <v>343831921</v>
      </c>
      <c r="D2634" s="3" t="s">
        <v>0</v>
      </c>
      <c r="E2634" s="2" t="str">
        <f>"PR6900025D"</f>
        <v>PR6900025D</v>
      </c>
      <c r="F2634" s="5">
        <v>41451</v>
      </c>
      <c r="G2634" s="5">
        <v>54789</v>
      </c>
      <c r="H2634" s="4" t="str">
        <f>""</f>
        <v/>
      </c>
      <c r="I2634" s="4" t="str">
        <f>""</f>
        <v/>
      </c>
    </row>
    <row r="2635" spans="1:9" x14ac:dyDescent="0.3">
      <c r="A2635" s="1" t="str">
        <f>"69"</f>
        <v>69</v>
      </c>
      <c r="B2635" s="4" t="str">
        <f>"THB"</f>
        <v>THB</v>
      </c>
      <c r="C2635" s="4">
        <v>343831921</v>
      </c>
      <c r="D2635" s="3" t="s">
        <v>0</v>
      </c>
      <c r="E2635" s="2" t="str">
        <f>"0010600330"</f>
        <v>0010600330</v>
      </c>
      <c r="F2635" s="5">
        <v>43627</v>
      </c>
      <c r="G2635" s="5">
        <v>54789</v>
      </c>
      <c r="H2635" s="4" t="str">
        <f>""</f>
        <v/>
      </c>
      <c r="I2635" s="4" t="str">
        <f>""</f>
        <v/>
      </c>
    </row>
    <row r="2636" spans="1:9" x14ac:dyDescent="0.3">
      <c r="A2636" s="1" t="str">
        <f>"69"</f>
        <v>69</v>
      </c>
      <c r="B2636" s="4" t="str">
        <f>"GACHON RECUPERATION BEAUJOLAISE"</f>
        <v>GACHON RECUPERATION BEAUJOLAISE</v>
      </c>
      <c r="C2636" s="4">
        <v>351575382</v>
      </c>
      <c r="D2636" s="3" t="s">
        <v>0</v>
      </c>
      <c r="E2636" s="2" t="str">
        <f>"PR6900033D"</f>
        <v>PR6900033D</v>
      </c>
      <c r="F2636" s="5">
        <v>39638</v>
      </c>
      <c r="G2636" s="5">
        <v>54789</v>
      </c>
      <c r="H2636" s="4" t="str">
        <f>""</f>
        <v/>
      </c>
      <c r="I2636" s="4" t="str">
        <f>""</f>
        <v/>
      </c>
    </row>
    <row r="2637" spans="1:9" x14ac:dyDescent="0.3">
      <c r="A2637" s="1" t="str">
        <f>"69"</f>
        <v>69</v>
      </c>
      <c r="B2637" s="4" t="str">
        <f>"GACHON RECUPERATION BEAUJOLAISE"</f>
        <v>GACHON RECUPERATION BEAUJOLAISE</v>
      </c>
      <c r="C2637" s="4">
        <v>351575382</v>
      </c>
      <c r="D2637" s="3" t="s">
        <v>0</v>
      </c>
      <c r="E2637" s="2" t="str">
        <f>"0006103758"</f>
        <v>0006103758</v>
      </c>
      <c r="F2637" s="5">
        <v>41876</v>
      </c>
      <c r="G2637" s="5">
        <v>54789</v>
      </c>
      <c r="H2637" s="4" t="str">
        <f>""</f>
        <v/>
      </c>
      <c r="I2637" s="4" t="str">
        <f>""</f>
        <v/>
      </c>
    </row>
    <row r="2638" spans="1:9" x14ac:dyDescent="0.3">
      <c r="A2638" s="1" t="str">
        <f>"69"</f>
        <v>69</v>
      </c>
      <c r="B2638" s="4" t="str">
        <f>"DELABRE NOEL SAS"</f>
        <v>DELABRE NOEL SAS</v>
      </c>
      <c r="C2638" s="4">
        <v>353016934</v>
      </c>
      <c r="D2638" s="3" t="s">
        <v>0</v>
      </c>
      <c r="E2638" s="2" t="str">
        <f>"PR6900037D"</f>
        <v>PR6900037D</v>
      </c>
      <c r="F2638" s="5">
        <v>40477</v>
      </c>
      <c r="G2638" s="5">
        <v>54789</v>
      </c>
      <c r="H2638" s="4" t="str">
        <f>""</f>
        <v/>
      </c>
      <c r="I2638" s="4" t="str">
        <f>""</f>
        <v/>
      </c>
    </row>
    <row r="2639" spans="1:9" x14ac:dyDescent="0.3">
      <c r="A2639" s="1" t="str">
        <f>"69"</f>
        <v>69</v>
      </c>
      <c r="B2639" s="4" t="str">
        <f>"DELABRE NOEL SAS"</f>
        <v>DELABRE NOEL SAS</v>
      </c>
      <c r="C2639" s="4">
        <v>353016934</v>
      </c>
      <c r="D2639" s="3" t="s">
        <v>0</v>
      </c>
      <c r="E2639" s="2" t="str">
        <f>"0010600070"</f>
        <v>0010600070</v>
      </c>
      <c r="F2639" s="5">
        <v>42839</v>
      </c>
      <c r="G2639" s="5">
        <v>54789</v>
      </c>
      <c r="H2639" s="4" t="str">
        <f>""</f>
        <v/>
      </c>
      <c r="I2639" s="4" t="str">
        <f>""</f>
        <v/>
      </c>
    </row>
    <row r="2640" spans="1:9" x14ac:dyDescent="0.3">
      <c r="A2640" s="1" t="str">
        <f>"69"</f>
        <v>69</v>
      </c>
      <c r="B2640" s="4" t="str">
        <f>"EST METAL"</f>
        <v>EST METAL</v>
      </c>
      <c r="C2640" s="4">
        <v>378815435</v>
      </c>
      <c r="D2640" s="3" t="s">
        <v>0</v>
      </c>
      <c r="E2640" s="2" t="str">
        <f>"0006103976"</f>
        <v>0006103976</v>
      </c>
      <c r="F2640" s="5">
        <v>41996</v>
      </c>
      <c r="G2640" s="5">
        <v>54789</v>
      </c>
      <c r="H2640" s="4" t="str">
        <f>""</f>
        <v/>
      </c>
      <c r="I2640" s="4" t="str">
        <f>""</f>
        <v/>
      </c>
    </row>
    <row r="2641" spans="1:9" x14ac:dyDescent="0.3">
      <c r="A2641" s="1" t="str">
        <f>"69"</f>
        <v>69</v>
      </c>
      <c r="B2641" s="4" t="str">
        <f>"EST METAL"</f>
        <v>EST METAL</v>
      </c>
      <c r="C2641" s="4">
        <v>378815435</v>
      </c>
      <c r="D2641" s="3" t="s">
        <v>0</v>
      </c>
      <c r="E2641" s="2" t="str">
        <f>"PR6900041D"</f>
        <v>PR6900041D</v>
      </c>
      <c r="F2641" s="5">
        <v>41996</v>
      </c>
      <c r="G2641" s="5">
        <v>54789</v>
      </c>
      <c r="H2641" s="4" t="str">
        <f>""</f>
        <v/>
      </c>
      <c r="I2641" s="4" t="str">
        <f>""</f>
        <v/>
      </c>
    </row>
    <row r="2642" spans="1:9" x14ac:dyDescent="0.3">
      <c r="A2642" s="1" t="str">
        <f>"69"</f>
        <v>69</v>
      </c>
      <c r="B2642" s="4" t="str">
        <f>"SCHIED ENVIRONNEMENT RECYCLAGE"</f>
        <v>SCHIED ENVIRONNEMENT RECYCLAGE</v>
      </c>
      <c r="C2642" s="4">
        <v>384068862</v>
      </c>
      <c r="D2642" s="3" t="s">
        <v>0</v>
      </c>
      <c r="E2642" s="2" t="str">
        <f>"PR6900043D"</f>
        <v>PR6900043D</v>
      </c>
      <c r="F2642" s="5">
        <v>42209</v>
      </c>
      <c r="G2642" s="5">
        <v>54789</v>
      </c>
      <c r="H2642" s="4" t="str">
        <f>""</f>
        <v/>
      </c>
      <c r="I2642" s="4" t="str">
        <f>""</f>
        <v/>
      </c>
    </row>
    <row r="2643" spans="1:9" x14ac:dyDescent="0.3">
      <c r="A2643" s="1" t="str">
        <f>"69"</f>
        <v>69</v>
      </c>
      <c r="B2643" s="4" t="str">
        <f>"SCHIED ENVIRONNEMENT RECYCLAGE"</f>
        <v>SCHIED ENVIRONNEMENT RECYCLAGE</v>
      </c>
      <c r="C2643" s="4">
        <v>384068862</v>
      </c>
      <c r="D2643" s="3" t="s">
        <v>0</v>
      </c>
      <c r="E2643" s="2" t="str">
        <f>"0010600190"</f>
        <v>0010600190</v>
      </c>
      <c r="F2643" s="5">
        <v>42209</v>
      </c>
      <c r="G2643" s="5">
        <v>54789</v>
      </c>
      <c r="H2643" s="4" t="str">
        <f>""</f>
        <v/>
      </c>
      <c r="I2643" s="4" t="str">
        <f>""</f>
        <v/>
      </c>
    </row>
    <row r="2644" spans="1:9" x14ac:dyDescent="0.3">
      <c r="A2644" s="1" t="str">
        <f>"69"</f>
        <v>69</v>
      </c>
      <c r="B2644" s="4" t="str">
        <f>"RECUP AUTOS SERVICE"</f>
        <v>RECUP AUTOS SERVICE</v>
      </c>
      <c r="C2644" s="4">
        <v>384713749</v>
      </c>
      <c r="D2644" s="3" t="s">
        <v>0</v>
      </c>
      <c r="E2644" s="2" t="str">
        <f>"PR6900019D"</f>
        <v>PR6900019D</v>
      </c>
      <c r="F2644" s="5">
        <v>41358</v>
      </c>
      <c r="G2644" s="5">
        <v>54789</v>
      </c>
      <c r="H2644" s="4" t="str">
        <f>""</f>
        <v/>
      </c>
      <c r="I2644" s="4" t="str">
        <f>""</f>
        <v/>
      </c>
    </row>
    <row r="2645" spans="1:9" x14ac:dyDescent="0.3">
      <c r="A2645" s="1" t="str">
        <f>"69"</f>
        <v>69</v>
      </c>
      <c r="B2645" s="4" t="str">
        <f>"RECUP AUTOS SERVICE"</f>
        <v>RECUP AUTOS SERVICE</v>
      </c>
      <c r="C2645" s="4">
        <v>384713749</v>
      </c>
      <c r="D2645" s="3" t="s">
        <v>0</v>
      </c>
      <c r="E2645" s="2" t="str">
        <f>"0010600056"</f>
        <v>0010600056</v>
      </c>
      <c r="F2645" s="5">
        <v>43523</v>
      </c>
      <c r="G2645" s="5">
        <v>54789</v>
      </c>
      <c r="H2645" s="4" t="str">
        <f>""</f>
        <v/>
      </c>
      <c r="I2645" s="4" t="str">
        <f>""</f>
        <v/>
      </c>
    </row>
    <row r="2646" spans="1:9" x14ac:dyDescent="0.3">
      <c r="A2646" s="1" t="str">
        <f>"69"</f>
        <v>69</v>
      </c>
      <c r="B2646" s="4" t="str">
        <f>"ROCADE AUTOS PIECES"</f>
        <v>ROCADE AUTOS PIECES</v>
      </c>
      <c r="C2646" s="4">
        <v>412057994</v>
      </c>
      <c r="D2646" s="3" t="s">
        <v>0</v>
      </c>
      <c r="E2646" s="2" t="str">
        <f>"PR6900018D"</f>
        <v>PR6900018D</v>
      </c>
      <c r="F2646" s="5">
        <v>39030</v>
      </c>
      <c r="G2646" s="5">
        <v>54789</v>
      </c>
      <c r="H2646" s="4" t="str">
        <f>""</f>
        <v/>
      </c>
      <c r="I2646" s="4" t="str">
        <f>""</f>
        <v/>
      </c>
    </row>
    <row r="2647" spans="1:9" x14ac:dyDescent="0.3">
      <c r="A2647" s="1" t="str">
        <f>"69"</f>
        <v>69</v>
      </c>
      <c r="B2647" s="4" t="str">
        <f>"ROCADE AUTOS PIECES"</f>
        <v>ROCADE AUTOS PIECES</v>
      </c>
      <c r="C2647" s="4">
        <v>412057994</v>
      </c>
      <c r="D2647" s="3" t="s">
        <v>0</v>
      </c>
      <c r="E2647" s="2" t="str">
        <f>"0010600274"</f>
        <v>0010600274</v>
      </c>
      <c r="F2647" s="5">
        <v>43473</v>
      </c>
      <c r="G2647" s="5">
        <v>54789</v>
      </c>
      <c r="H2647" s="4" t="str">
        <f>""</f>
        <v/>
      </c>
      <c r="I2647" s="4" t="str">
        <f>""</f>
        <v/>
      </c>
    </row>
    <row r="2648" spans="1:9" x14ac:dyDescent="0.3">
      <c r="A2648" s="1" t="str">
        <f>"69"</f>
        <v>69</v>
      </c>
      <c r="B2648" s="4" t="str">
        <f>"DETTINGER ET FILS"</f>
        <v>DETTINGER ET FILS</v>
      </c>
      <c r="C2648" s="4">
        <v>412180168</v>
      </c>
      <c r="D2648" s="3" t="s">
        <v>0</v>
      </c>
      <c r="E2648" s="2" t="str">
        <f>"PR6900016D"</f>
        <v>PR6900016D</v>
      </c>
      <c r="F2648" s="5">
        <v>41319</v>
      </c>
      <c r="G2648" s="5">
        <v>54789</v>
      </c>
      <c r="H2648" s="4" t="str">
        <f>""</f>
        <v/>
      </c>
      <c r="I2648" s="4" t="str">
        <f>""</f>
        <v/>
      </c>
    </row>
    <row r="2649" spans="1:9" x14ac:dyDescent="0.3">
      <c r="A2649" s="1" t="str">
        <f>"69"</f>
        <v>69</v>
      </c>
      <c r="B2649" s="4" t="str">
        <f>"DETTINGER ET FILS"</f>
        <v>DETTINGER ET FILS</v>
      </c>
      <c r="C2649" s="4">
        <v>412180168</v>
      </c>
      <c r="D2649" s="3" t="s">
        <v>0</v>
      </c>
      <c r="E2649" s="2" t="str">
        <f>"0006103694"</f>
        <v>0006103694</v>
      </c>
      <c r="F2649" s="5">
        <v>43509</v>
      </c>
      <c r="G2649" s="5">
        <v>54789</v>
      </c>
      <c r="H2649" s="4" t="str">
        <f>""</f>
        <v/>
      </c>
      <c r="I2649" s="4" t="str">
        <f>""</f>
        <v/>
      </c>
    </row>
    <row r="2650" spans="1:9" x14ac:dyDescent="0.3">
      <c r="A2650" s="1" t="str">
        <f>"69"</f>
        <v>69</v>
      </c>
      <c r="B2650" s="4" t="str">
        <f>"DEPAN-SERVICE"</f>
        <v>DEPAN-SERVICE</v>
      </c>
      <c r="C2650" s="4">
        <v>421285586</v>
      </c>
      <c r="D2650" s="3" t="s">
        <v>0</v>
      </c>
      <c r="E2650" s="2" t="str">
        <f>"PR6900044D"</f>
        <v>PR6900044D</v>
      </c>
      <c r="F2650" s="5">
        <v>42185</v>
      </c>
      <c r="G2650" s="5">
        <v>54789</v>
      </c>
      <c r="H2650" s="4" t="str">
        <f>""</f>
        <v/>
      </c>
      <c r="I2650" s="4" t="str">
        <f>""</f>
        <v/>
      </c>
    </row>
    <row r="2651" spans="1:9" x14ac:dyDescent="0.3">
      <c r="A2651" s="1" t="str">
        <f>"69"</f>
        <v>69</v>
      </c>
      <c r="B2651" s="4" t="str">
        <f>"DEPAN-SERVICE"</f>
        <v>DEPAN-SERVICE</v>
      </c>
      <c r="C2651" s="4">
        <v>421285586</v>
      </c>
      <c r="D2651" s="3" t="s">
        <v>0</v>
      </c>
      <c r="E2651" s="2" t="str">
        <f>"0006113088"</f>
        <v>0006113088</v>
      </c>
      <c r="F2651" s="5">
        <v>42185</v>
      </c>
      <c r="G2651" s="5">
        <v>54789</v>
      </c>
      <c r="H2651" s="4" t="str">
        <f>""</f>
        <v/>
      </c>
      <c r="I2651" s="4" t="str">
        <f>""</f>
        <v/>
      </c>
    </row>
    <row r="2652" spans="1:9" x14ac:dyDescent="0.3">
      <c r="A2652" s="1" t="str">
        <f>"69"</f>
        <v>69</v>
      </c>
      <c r="B2652" s="4" t="str">
        <f>"DAVID GUELLA"</f>
        <v>DAVID GUELLA</v>
      </c>
      <c r="C2652" s="4">
        <v>430371666</v>
      </c>
      <c r="D2652" s="3" t="s">
        <v>0</v>
      </c>
      <c r="E2652" s="2" t="str">
        <f>"0006107508"</f>
        <v>0006107508</v>
      </c>
      <c r="F2652" s="5">
        <v>41752</v>
      </c>
      <c r="G2652" s="5">
        <v>54789</v>
      </c>
      <c r="H2652" s="4" t="str">
        <f>""</f>
        <v/>
      </c>
      <c r="I2652" s="4" t="str">
        <f>""</f>
        <v/>
      </c>
    </row>
    <row r="2653" spans="1:9" x14ac:dyDescent="0.3">
      <c r="A2653" s="1" t="str">
        <f>"69"</f>
        <v>69</v>
      </c>
      <c r="B2653" s="4" t="str">
        <f>"DAVID GUELLA"</f>
        <v>DAVID GUELLA</v>
      </c>
      <c r="C2653" s="4">
        <v>430371666</v>
      </c>
      <c r="D2653" s="3" t="s">
        <v>0</v>
      </c>
      <c r="E2653" s="2" t="str">
        <f>"PR6900032D"</f>
        <v>PR6900032D</v>
      </c>
      <c r="F2653" s="5">
        <v>39637</v>
      </c>
      <c r="G2653" s="5">
        <v>54789</v>
      </c>
      <c r="H2653" s="4" t="str">
        <f>""</f>
        <v/>
      </c>
      <c r="I2653" s="4" t="str">
        <f>""</f>
        <v/>
      </c>
    </row>
    <row r="2654" spans="1:9" x14ac:dyDescent="0.3">
      <c r="A2654" s="1" t="str">
        <f>"69"</f>
        <v>69</v>
      </c>
      <c r="B2654" s="4" t="str">
        <f>"BRANCHE AUTO PIECES"</f>
        <v>BRANCHE AUTO PIECES</v>
      </c>
      <c r="C2654" s="4">
        <v>431433861</v>
      </c>
      <c r="D2654" s="3" t="s">
        <v>0</v>
      </c>
      <c r="E2654" s="2" t="str">
        <f>"PR6900005D"</f>
        <v>PR6900005D</v>
      </c>
      <c r="F2654" s="5">
        <v>41347</v>
      </c>
      <c r="G2654" s="5">
        <v>54789</v>
      </c>
      <c r="H2654" s="4" t="str">
        <f>""</f>
        <v/>
      </c>
      <c r="I2654" s="4" t="str">
        <f>""</f>
        <v/>
      </c>
    </row>
    <row r="2655" spans="1:9" x14ac:dyDescent="0.3">
      <c r="A2655" s="1" t="str">
        <f>"69"</f>
        <v>69</v>
      </c>
      <c r="B2655" s="4" t="str">
        <f>"ABS AUTO PIECES"</f>
        <v>ABS AUTO PIECES</v>
      </c>
      <c r="C2655" s="4">
        <v>440003556</v>
      </c>
      <c r="D2655" s="3" t="s">
        <v>0</v>
      </c>
      <c r="E2655" s="2" t="str">
        <f>"PR6900027D"</f>
        <v>PR6900027D</v>
      </c>
      <c r="F2655" s="5">
        <v>41996</v>
      </c>
      <c r="G2655" s="5">
        <v>54789</v>
      </c>
      <c r="H2655" s="4" t="str">
        <f>""</f>
        <v/>
      </c>
      <c r="I2655" s="4" t="str">
        <f>""</f>
        <v/>
      </c>
    </row>
    <row r="2656" spans="1:9" x14ac:dyDescent="0.3">
      <c r="A2656" s="1" t="str">
        <f>"69"</f>
        <v>69</v>
      </c>
      <c r="B2656" s="4" t="str">
        <f>"ABS AUTO PIECES"</f>
        <v>ABS AUTO PIECES</v>
      </c>
      <c r="C2656" s="4">
        <v>440003556</v>
      </c>
      <c r="D2656" s="3" t="s">
        <v>0</v>
      </c>
      <c r="E2656" s="2" t="str">
        <f>"0010600428"</f>
        <v>0010600428</v>
      </c>
      <c r="F2656" s="5">
        <v>41996</v>
      </c>
      <c r="G2656" s="5">
        <v>54789</v>
      </c>
      <c r="H2656" s="4" t="str">
        <f>""</f>
        <v/>
      </c>
      <c r="I2656" s="4" t="str">
        <f>""</f>
        <v/>
      </c>
    </row>
    <row r="2657" spans="1:9" x14ac:dyDescent="0.3">
      <c r="A2657" s="1" t="str">
        <f>"69"</f>
        <v>69</v>
      </c>
      <c r="B2657" s="4" t="str">
        <f>"GENAY AUTOS PIECES"</f>
        <v>GENAY AUTOS PIECES</v>
      </c>
      <c r="C2657" s="4">
        <v>444775811</v>
      </c>
      <c r="D2657" s="3" t="s">
        <v>0</v>
      </c>
      <c r="E2657" s="2" t="str">
        <f>"0006103991"</f>
        <v>0006103991</v>
      </c>
      <c r="F2657" s="5">
        <v>43726</v>
      </c>
      <c r="G2657" s="5">
        <v>54789</v>
      </c>
      <c r="H2657" s="4" t="str">
        <f>""</f>
        <v/>
      </c>
      <c r="I2657" s="4" t="str">
        <f>""</f>
        <v/>
      </c>
    </row>
    <row r="2658" spans="1:9" x14ac:dyDescent="0.3">
      <c r="A2658" s="1" t="str">
        <f>"69"</f>
        <v>69</v>
      </c>
      <c r="B2658" s="4" t="str">
        <f>"GENAY AUTOS PIECES"</f>
        <v>GENAY AUTOS PIECES</v>
      </c>
      <c r="C2658" s="4">
        <v>444775811</v>
      </c>
      <c r="D2658" s="3" t="s">
        <v>0</v>
      </c>
      <c r="E2658" s="2" t="str">
        <f>"PR6900029D"</f>
        <v>PR6900029D</v>
      </c>
      <c r="F2658" s="5">
        <v>41549</v>
      </c>
      <c r="G2658" s="5">
        <v>54789</v>
      </c>
      <c r="H2658" s="4" t="str">
        <f>""</f>
        <v/>
      </c>
      <c r="I2658" s="4" t="str">
        <f>""</f>
        <v/>
      </c>
    </row>
    <row r="2659" spans="1:9" x14ac:dyDescent="0.3">
      <c r="A2659" s="1" t="str">
        <f>"69"</f>
        <v>69</v>
      </c>
      <c r="B2659" s="4" t="str">
        <f>"VILLEFRANCHE AUTO SERVICES"</f>
        <v>VILLEFRANCHE AUTO SERVICES</v>
      </c>
      <c r="C2659" s="4">
        <v>528302748</v>
      </c>
      <c r="D2659" s="3" t="s">
        <v>0</v>
      </c>
      <c r="E2659" s="2" t="str">
        <f>"PR6900038D"</f>
        <v>PR6900038D</v>
      </c>
      <c r="F2659" s="5">
        <v>40794</v>
      </c>
      <c r="G2659" s="5">
        <v>54789</v>
      </c>
      <c r="H2659" s="4" t="str">
        <f>""</f>
        <v/>
      </c>
      <c r="I2659" s="4" t="str">
        <f>""</f>
        <v/>
      </c>
    </row>
    <row r="2660" spans="1:9" x14ac:dyDescent="0.3">
      <c r="A2660" s="1" t="str">
        <f>"69"</f>
        <v>69</v>
      </c>
      <c r="B2660" s="4" t="str">
        <f>"VILLEFRANCHE AUTO SERVICES"</f>
        <v>VILLEFRANCHE AUTO SERVICES</v>
      </c>
      <c r="C2660" s="4">
        <v>528302748</v>
      </c>
      <c r="D2660" s="3" t="s">
        <v>0</v>
      </c>
      <c r="E2660" s="2" t="str">
        <f>"0010600198"</f>
        <v>0010600198</v>
      </c>
      <c r="F2660" s="5">
        <v>43052</v>
      </c>
      <c r="G2660" s="5">
        <v>54789</v>
      </c>
      <c r="H2660" s="4" t="str">
        <f>""</f>
        <v/>
      </c>
      <c r="I2660" s="4" t="str">
        <f>""</f>
        <v/>
      </c>
    </row>
    <row r="2661" spans="1:9" x14ac:dyDescent="0.3">
      <c r="A2661" s="1" t="str">
        <f>"69"</f>
        <v>69</v>
      </c>
      <c r="B2661" s="4" t="str">
        <f>"GUY DAUPHIN ENVIRONNEMENT"</f>
        <v>GUY DAUPHIN ENVIRONNEMENT</v>
      </c>
      <c r="C2661" s="4">
        <v>653820530</v>
      </c>
      <c r="D2661" s="3" t="s">
        <v>0</v>
      </c>
      <c r="E2661" s="2" t="str">
        <f>"PR6900008D"</f>
        <v>PR6900008D</v>
      </c>
      <c r="F2661" s="5">
        <v>43444</v>
      </c>
      <c r="G2661" s="5">
        <v>54789</v>
      </c>
      <c r="H2661" s="4" t="str">
        <f>""</f>
        <v/>
      </c>
      <c r="I2661" s="4" t="str">
        <f>""</f>
        <v/>
      </c>
    </row>
    <row r="2662" spans="1:9" x14ac:dyDescent="0.3">
      <c r="A2662" s="1" t="str">
        <f>"69"</f>
        <v>69</v>
      </c>
      <c r="B2662" s="4" t="str">
        <f>"GUY DAUPHIN ENVIRONNEMENT"</f>
        <v>GUY DAUPHIN ENVIRONNEMENT</v>
      </c>
      <c r="C2662" s="4">
        <v>653820530</v>
      </c>
      <c r="D2662" s="3" t="s">
        <v>0</v>
      </c>
      <c r="E2662" s="2" t="str">
        <f>"0010600060"</f>
        <v>0010600060</v>
      </c>
      <c r="F2662" s="5">
        <v>43444</v>
      </c>
      <c r="G2662" s="5">
        <v>54789</v>
      </c>
      <c r="H2662" s="4" t="str">
        <f>""</f>
        <v/>
      </c>
      <c r="I2662" s="4" t="str">
        <f>""</f>
        <v/>
      </c>
    </row>
    <row r="2663" spans="1:9" x14ac:dyDescent="0.3">
      <c r="A2663" s="1" t="str">
        <f>"69"</f>
        <v>69</v>
      </c>
      <c r="B2663" s="4" t="str">
        <f>"GUY DAUPHIN ENVIRONNEMENT"</f>
        <v>GUY DAUPHIN ENVIRONNEMENT</v>
      </c>
      <c r="C2663" s="4">
        <v>653820530</v>
      </c>
      <c r="D2663" s="3" t="s">
        <v>0</v>
      </c>
      <c r="E2663" s="2" t="str">
        <f>"0010600036"</f>
        <v>0010600036</v>
      </c>
      <c r="F2663" s="5">
        <v>43445</v>
      </c>
      <c r="G2663" s="5">
        <v>54789</v>
      </c>
      <c r="H2663" s="4" t="str">
        <f>""</f>
        <v/>
      </c>
      <c r="I2663" s="4" t="str">
        <f>""</f>
        <v/>
      </c>
    </row>
    <row r="2664" spans="1:9" x14ac:dyDescent="0.3">
      <c r="A2664" s="1" t="str">
        <f>"69"</f>
        <v>69</v>
      </c>
      <c r="B2664" s="4" t="str">
        <f>"GUY DAUPHIN ENVIRONNEMENT"</f>
        <v>GUY DAUPHIN ENVIRONNEMENT</v>
      </c>
      <c r="C2664" s="4">
        <v>653820530</v>
      </c>
      <c r="D2664" s="3" t="s">
        <v>0</v>
      </c>
      <c r="E2664" s="2" t="str">
        <f>"PR6900009D"</f>
        <v>PR6900009D</v>
      </c>
      <c r="F2664" s="5">
        <v>43445</v>
      </c>
      <c r="G2664" s="5">
        <v>54789</v>
      </c>
      <c r="H2664" s="4" t="str">
        <f>""</f>
        <v/>
      </c>
      <c r="I2664" s="4" t="str">
        <f>""</f>
        <v/>
      </c>
    </row>
    <row r="2665" spans="1:9" x14ac:dyDescent="0.3">
      <c r="A2665" s="1" t="str">
        <f>"69"</f>
        <v>69</v>
      </c>
      <c r="B2665" s="4" t="str">
        <f>"GUY DAUPHIN ENVIRONNEMENT"</f>
        <v>GUY DAUPHIN ENVIRONNEMENT</v>
      </c>
      <c r="C2665" s="4">
        <v>653820530</v>
      </c>
      <c r="D2665" s="3" t="s">
        <v>0</v>
      </c>
      <c r="E2665" s="2" t="str">
        <f>"PR6900010D"</f>
        <v>PR6900010D</v>
      </c>
      <c r="F2665" s="5">
        <v>43406</v>
      </c>
      <c r="G2665" s="5">
        <v>54789</v>
      </c>
      <c r="H2665" s="4" t="str">
        <f>""</f>
        <v/>
      </c>
      <c r="I2665" s="4" t="str">
        <f>""</f>
        <v/>
      </c>
    </row>
    <row r="2666" spans="1:9" x14ac:dyDescent="0.3">
      <c r="A2666" s="1" t="str">
        <f>"69"</f>
        <v>69</v>
      </c>
      <c r="B2666" s="4" t="str">
        <f>"GUY DAUPHIN ENVIRONNEMENT"</f>
        <v>GUY DAUPHIN ENVIRONNEMENT</v>
      </c>
      <c r="C2666" s="4">
        <v>653820530</v>
      </c>
      <c r="D2666" s="3" t="s">
        <v>0</v>
      </c>
      <c r="E2666" s="2" t="str">
        <f>"0010600304"</f>
        <v>0010600304</v>
      </c>
      <c r="F2666" s="5">
        <v>43406</v>
      </c>
      <c r="G2666" s="5">
        <v>54789</v>
      </c>
      <c r="H2666" s="4" t="str">
        <f>""</f>
        <v/>
      </c>
      <c r="I2666" s="4" t="str">
        <f>""</f>
        <v/>
      </c>
    </row>
    <row r="2667" spans="1:9" x14ac:dyDescent="0.3">
      <c r="A2667" s="1" t="str">
        <f>"69"</f>
        <v>69</v>
      </c>
      <c r="B2667" s="4" t="str">
        <f>"MS RECYCLAGE"</f>
        <v>MS RECYCLAGE</v>
      </c>
      <c r="C2667" s="4">
        <v>809464142</v>
      </c>
      <c r="D2667" s="3" t="s">
        <v>0</v>
      </c>
      <c r="E2667" s="2" t="str">
        <f>"PR6900056D"</f>
        <v>PR6900056D</v>
      </c>
      <c r="F2667" s="5">
        <v>45394</v>
      </c>
      <c r="G2667" s="5">
        <v>54789</v>
      </c>
      <c r="H2667" s="4" t="str">
        <f>""</f>
        <v/>
      </c>
      <c r="I2667" s="4" t="str">
        <f>""</f>
        <v/>
      </c>
    </row>
    <row r="2668" spans="1:9" x14ac:dyDescent="0.3">
      <c r="A2668" s="1" t="str">
        <f>"69"</f>
        <v>69</v>
      </c>
      <c r="B2668" s="4" t="str">
        <f>"LYON RECYCLAGE PIECES AUTO"</f>
        <v>LYON RECYCLAGE PIECES AUTO</v>
      </c>
      <c r="C2668" s="4">
        <v>811999861</v>
      </c>
      <c r="D2668" s="3" t="s">
        <v>0</v>
      </c>
      <c r="E2668" s="2" t="str">
        <f>"0006115032"</f>
        <v>0006115032</v>
      </c>
      <c r="F2668" s="5">
        <v>42643</v>
      </c>
      <c r="G2668" s="5">
        <v>54789</v>
      </c>
      <c r="H2668" s="4" t="str">
        <f>""</f>
        <v/>
      </c>
      <c r="I2668" s="4" t="str">
        <f>""</f>
        <v/>
      </c>
    </row>
    <row r="2669" spans="1:9" x14ac:dyDescent="0.3">
      <c r="A2669" s="1" t="str">
        <f>"69"</f>
        <v>69</v>
      </c>
      <c r="B2669" s="4" t="str">
        <f>"LYON RECYCLAGE PIECES AUTO"</f>
        <v>LYON RECYCLAGE PIECES AUTO</v>
      </c>
      <c r="C2669" s="4">
        <v>811999861</v>
      </c>
      <c r="D2669" s="3" t="s">
        <v>0</v>
      </c>
      <c r="E2669" s="2" t="str">
        <f>"PR6900045D"</f>
        <v>PR6900045D</v>
      </c>
      <c r="F2669" s="5">
        <v>42643</v>
      </c>
      <c r="G2669" s="5">
        <v>54789</v>
      </c>
      <c r="H2669" s="4" t="str">
        <f>""</f>
        <v/>
      </c>
      <c r="I2669" s="4" t="str">
        <f>""</f>
        <v/>
      </c>
    </row>
    <row r="2670" spans="1:9" x14ac:dyDescent="0.3">
      <c r="A2670" s="1" t="str">
        <f>"69"</f>
        <v>69</v>
      </c>
      <c r="B2670" s="4" t="str">
        <f>"COMPTOIR LYONNAIS DES METAUX"</f>
        <v>COMPTOIR LYONNAIS DES METAUX</v>
      </c>
      <c r="C2670" s="4">
        <v>820753697</v>
      </c>
      <c r="D2670" s="3" t="s">
        <v>0</v>
      </c>
      <c r="E2670" s="2" t="str">
        <f>"0006103715"</f>
        <v>0006103715</v>
      </c>
      <c r="F2670" s="5">
        <v>44061</v>
      </c>
      <c r="G2670" s="5">
        <v>54789</v>
      </c>
      <c r="H2670" s="4" t="str">
        <f>""</f>
        <v/>
      </c>
      <c r="I2670" s="4" t="str">
        <f>""</f>
        <v/>
      </c>
    </row>
    <row r="2671" spans="1:9" x14ac:dyDescent="0.3">
      <c r="A2671" s="1" t="str">
        <f>"69"</f>
        <v>69</v>
      </c>
      <c r="B2671" s="4" t="str">
        <f>"COMPTOIR LYONNAIS DES METAUX"</f>
        <v>COMPTOIR LYONNAIS DES METAUX</v>
      </c>
      <c r="C2671" s="4">
        <v>820753697</v>
      </c>
      <c r="D2671" s="3" t="s">
        <v>0</v>
      </c>
      <c r="E2671" s="2" t="str">
        <f>"PR6900051D"</f>
        <v>PR6900051D</v>
      </c>
      <c r="F2671" s="5">
        <v>44061</v>
      </c>
      <c r="G2671" s="5">
        <v>54789</v>
      </c>
      <c r="H2671" s="4" t="str">
        <f>""</f>
        <v/>
      </c>
      <c r="I2671" s="4" t="str">
        <f>""</f>
        <v/>
      </c>
    </row>
    <row r="2672" spans="1:9" x14ac:dyDescent="0.3">
      <c r="A2672" s="1" t="str">
        <f>"69"</f>
        <v>69</v>
      </c>
      <c r="B2672" s="4" t="str">
        <f>"IMZY AUTO"</f>
        <v>IMZY AUTO</v>
      </c>
      <c r="C2672" s="4">
        <v>823115167</v>
      </c>
      <c r="D2672" s="3" t="s">
        <v>0</v>
      </c>
      <c r="E2672" s="2" t="str">
        <f>"0003204470"</f>
        <v>0003204470</v>
      </c>
      <c r="F2672" s="5">
        <v>44188</v>
      </c>
      <c r="G2672" s="5">
        <v>54789</v>
      </c>
      <c r="H2672" s="4" t="str">
        <f>""</f>
        <v/>
      </c>
      <c r="I2672" s="4" t="str">
        <f>""</f>
        <v/>
      </c>
    </row>
    <row r="2673" spans="1:9" x14ac:dyDescent="0.3">
      <c r="A2673" s="1" t="str">
        <f>"69"</f>
        <v>69</v>
      </c>
      <c r="B2673" s="4" t="str">
        <f>"IMZY AUTO"</f>
        <v>IMZY AUTO</v>
      </c>
      <c r="C2673" s="4">
        <v>823115167</v>
      </c>
      <c r="D2673" s="3" t="s">
        <v>0</v>
      </c>
      <c r="E2673" s="2" t="str">
        <f>"PR6900052D"</f>
        <v>PR6900052D</v>
      </c>
      <c r="F2673" s="5">
        <v>44188</v>
      </c>
      <c r="G2673" s="5">
        <v>54789</v>
      </c>
      <c r="H2673" s="4" t="str">
        <f>""</f>
        <v/>
      </c>
      <c r="I2673" s="4" t="str">
        <f>""</f>
        <v/>
      </c>
    </row>
    <row r="2674" spans="1:9" x14ac:dyDescent="0.3">
      <c r="A2674" s="1" t="str">
        <f>"69"</f>
        <v>69</v>
      </c>
      <c r="B2674" s="4" t="str">
        <f>"SAS K.SH"</f>
        <v>SAS K.SH</v>
      </c>
      <c r="C2674" s="4">
        <v>828087478</v>
      </c>
      <c r="D2674" s="3" t="s">
        <v>0</v>
      </c>
      <c r="E2674" s="2" t="str">
        <f>"PR6900048D"</f>
        <v>PR6900048D</v>
      </c>
      <c r="F2674" s="5">
        <v>43061</v>
      </c>
      <c r="G2674" s="5">
        <v>54789</v>
      </c>
      <c r="H2674" s="4" t="str">
        <f>""</f>
        <v/>
      </c>
      <c r="I2674" s="4" t="str">
        <f>""</f>
        <v/>
      </c>
    </row>
    <row r="2675" spans="1:9" x14ac:dyDescent="0.3">
      <c r="A2675" s="1" t="str">
        <f>"69"</f>
        <v>69</v>
      </c>
      <c r="B2675" s="4" t="str">
        <f>"SAS K.SH"</f>
        <v>SAS K.SH</v>
      </c>
      <c r="C2675" s="4">
        <v>828087478</v>
      </c>
      <c r="D2675" s="3" t="s">
        <v>0</v>
      </c>
      <c r="E2675" s="2" t="str">
        <f>"0006108692"</f>
        <v>0006108692</v>
      </c>
      <c r="F2675" s="5">
        <v>43061</v>
      </c>
      <c r="G2675" s="5">
        <v>54789</v>
      </c>
      <c r="H2675" s="4" t="str">
        <f>""</f>
        <v/>
      </c>
      <c r="I2675" s="4" t="str">
        <f>""</f>
        <v/>
      </c>
    </row>
    <row r="2676" spans="1:9" x14ac:dyDescent="0.3">
      <c r="A2676" s="1" t="str">
        <f>"69"</f>
        <v>69</v>
      </c>
      <c r="B2676" s="4" t="str">
        <f>"EKOTO-ANG AUTOS DEMOLITION"</f>
        <v>EKOTO-ANG AUTOS DEMOLITION</v>
      </c>
      <c r="C2676" s="4">
        <v>841652282</v>
      </c>
      <c r="D2676" s="3" t="s">
        <v>0</v>
      </c>
      <c r="E2676" s="2" t="str">
        <f>"PR6900049D"</f>
        <v>PR6900049D</v>
      </c>
      <c r="F2676" s="5">
        <v>43509</v>
      </c>
      <c r="G2676" s="5">
        <v>54789</v>
      </c>
      <c r="H2676" s="4" t="str">
        <f>""</f>
        <v/>
      </c>
      <c r="I2676" s="4" t="str">
        <f>""</f>
        <v/>
      </c>
    </row>
    <row r="2677" spans="1:9" x14ac:dyDescent="0.3">
      <c r="A2677" s="1" t="str">
        <f>"69"</f>
        <v>69</v>
      </c>
      <c r="B2677" s="4" t="str">
        <f>"EKOTO-ANG AUTOS DEMOLITION"</f>
        <v>EKOTO-ANG AUTOS DEMOLITION</v>
      </c>
      <c r="C2677" s="4">
        <v>841652282</v>
      </c>
      <c r="D2677" s="3" t="s">
        <v>0</v>
      </c>
      <c r="E2677" s="2" t="str">
        <f>"0006108431"</f>
        <v>0006108431</v>
      </c>
      <c r="F2677" s="5">
        <v>43509</v>
      </c>
      <c r="G2677" s="5">
        <v>54789</v>
      </c>
      <c r="H2677" s="4" t="str">
        <f>""</f>
        <v/>
      </c>
      <c r="I2677" s="4" t="str">
        <f>""</f>
        <v/>
      </c>
    </row>
    <row r="2678" spans="1:9" x14ac:dyDescent="0.3">
      <c r="A2678" s="1" t="str">
        <f>"69"</f>
        <v>69</v>
      </c>
      <c r="B2678" s="4" t="str">
        <f>"NORDFER"</f>
        <v>NORDFER</v>
      </c>
      <c r="C2678" s="4">
        <v>850869397</v>
      </c>
      <c r="D2678" s="3" t="s">
        <v>0</v>
      </c>
      <c r="E2678" s="2" t="str">
        <f>"PR6900050D"</f>
        <v>PR6900050D</v>
      </c>
      <c r="F2678" s="5">
        <v>43677</v>
      </c>
      <c r="G2678" s="5">
        <v>54789</v>
      </c>
      <c r="H2678" s="4" t="str">
        <f>""</f>
        <v/>
      </c>
      <c r="I2678" s="4" t="str">
        <f>""</f>
        <v/>
      </c>
    </row>
    <row r="2679" spans="1:9" x14ac:dyDescent="0.3">
      <c r="A2679" s="1" t="str">
        <f>"69"</f>
        <v>69</v>
      </c>
      <c r="B2679" s="4" t="str">
        <f>"NORDFER"</f>
        <v>NORDFER</v>
      </c>
      <c r="C2679" s="4">
        <v>850869397</v>
      </c>
      <c r="D2679" s="3" t="s">
        <v>0</v>
      </c>
      <c r="E2679" s="2" t="str">
        <f>"0006103820"</f>
        <v>0006103820</v>
      </c>
      <c r="F2679" s="5">
        <v>43677</v>
      </c>
      <c r="G2679" s="5">
        <v>54789</v>
      </c>
      <c r="H2679" s="4" t="str">
        <f>""</f>
        <v/>
      </c>
      <c r="I2679" s="4" t="str">
        <f>""</f>
        <v/>
      </c>
    </row>
    <row r="2680" spans="1:9" x14ac:dyDescent="0.3">
      <c r="A2680" s="1" t="str">
        <f>"69"</f>
        <v>69</v>
      </c>
      <c r="B2680" s="4" t="str">
        <f>"SERVICES AUTO 69"</f>
        <v>SERVICES AUTO 69</v>
      </c>
      <c r="C2680" s="4">
        <v>888053048</v>
      </c>
      <c r="D2680" s="3" t="s">
        <v>0</v>
      </c>
      <c r="E2680" s="2" t="str">
        <f>"PR6900053D"</f>
        <v>PR6900053D</v>
      </c>
      <c r="F2680" s="5">
        <v>44404</v>
      </c>
      <c r="G2680" s="5">
        <v>54789</v>
      </c>
      <c r="H2680" s="4" t="str">
        <f>""</f>
        <v/>
      </c>
      <c r="I2680" s="4" t="str">
        <f>""</f>
        <v/>
      </c>
    </row>
    <row r="2681" spans="1:9" x14ac:dyDescent="0.3">
      <c r="A2681" s="1" t="str">
        <f>"69"</f>
        <v>69</v>
      </c>
      <c r="B2681" s="4" t="str">
        <f>"TAFANI AUTOS"</f>
        <v>TAFANI AUTOS</v>
      </c>
      <c r="C2681" s="4">
        <v>894748490</v>
      </c>
      <c r="D2681" s="3" t="s">
        <v>0</v>
      </c>
      <c r="E2681" s="2" t="str">
        <f>"PR6900054D"</f>
        <v>PR6900054D</v>
      </c>
      <c r="F2681" s="5">
        <v>44608</v>
      </c>
      <c r="G2681" s="5">
        <v>54789</v>
      </c>
      <c r="H2681" s="4" t="str">
        <f>""</f>
        <v/>
      </c>
      <c r="I2681" s="4" t="str">
        <f>""</f>
        <v/>
      </c>
    </row>
    <row r="2682" spans="1:9" x14ac:dyDescent="0.3">
      <c r="A2682" s="1" t="str">
        <f>"69"</f>
        <v>69</v>
      </c>
      <c r="B2682" s="4" t="str">
        <f>"TAFANI AUTOS"</f>
        <v>TAFANI AUTOS</v>
      </c>
      <c r="C2682" s="4">
        <v>894748490</v>
      </c>
      <c r="D2682" s="3" t="s">
        <v>0</v>
      </c>
      <c r="E2682" s="2" t="str">
        <f>"0006103911"</f>
        <v>0006103911</v>
      </c>
      <c r="F2682" s="5">
        <v>44608</v>
      </c>
      <c r="G2682" s="5">
        <v>54789</v>
      </c>
      <c r="H2682" s="4" t="str">
        <f>""</f>
        <v/>
      </c>
      <c r="I2682" s="4" t="str">
        <f>""</f>
        <v/>
      </c>
    </row>
    <row r="2683" spans="1:9" x14ac:dyDescent="0.3">
      <c r="A2683" s="1" t="str">
        <f>"69"</f>
        <v>69</v>
      </c>
      <c r="B2683" s="4" t="str">
        <f>"SG BRANCHE AUTOS"</f>
        <v>SG BRANCHE AUTOS</v>
      </c>
      <c r="C2683" s="4">
        <v>952662062</v>
      </c>
      <c r="D2683" s="3" t="s">
        <v>0</v>
      </c>
      <c r="E2683" s="2" t="str">
        <f>"0010600852"</f>
        <v>0010600852</v>
      </c>
      <c r="F2683" s="5">
        <v>45272</v>
      </c>
      <c r="G2683" s="5">
        <v>54789</v>
      </c>
      <c r="H2683" s="4" t="str">
        <f>""</f>
        <v/>
      </c>
      <c r="I2683" s="4" t="str">
        <f>""</f>
        <v/>
      </c>
    </row>
    <row r="2684" spans="1:9" x14ac:dyDescent="0.3">
      <c r="A2684" s="1" t="str">
        <f>"69"</f>
        <v>69</v>
      </c>
      <c r="B2684" s="4" t="str">
        <f>"SG BRANCHE AUTOS"</f>
        <v>SG BRANCHE AUTOS</v>
      </c>
      <c r="C2684" s="4">
        <v>952662062</v>
      </c>
      <c r="D2684" s="3" t="s">
        <v>0</v>
      </c>
      <c r="E2684" s="2" t="str">
        <f>"PR6900055D"</f>
        <v>PR6900055D</v>
      </c>
      <c r="F2684" s="5">
        <v>45272</v>
      </c>
      <c r="G2684" s="5">
        <v>54789</v>
      </c>
      <c r="H2684" s="4" t="str">
        <f>""</f>
        <v/>
      </c>
      <c r="I2684" s="4" t="str">
        <f>""</f>
        <v/>
      </c>
    </row>
    <row r="2685" spans="1:9" x14ac:dyDescent="0.3">
      <c r="A2685" s="1" t="str">
        <f>"69"</f>
        <v>69</v>
      </c>
      <c r="B2685" s="4" t="str">
        <f>"TABARD AUTOS DEMOLITION"</f>
        <v>TABARD AUTOS DEMOLITION</v>
      </c>
      <c r="C2685" s="4">
        <v>958510026</v>
      </c>
      <c r="D2685" s="3" t="s">
        <v>0</v>
      </c>
      <c r="E2685" s="2" t="str">
        <f>"0006104086"</f>
        <v>0006104086</v>
      </c>
      <c r="F2685" s="5">
        <v>43473</v>
      </c>
      <c r="G2685" s="5">
        <v>54789</v>
      </c>
      <c r="H2685" s="4" t="str">
        <f>""</f>
        <v/>
      </c>
      <c r="I2685" s="4" t="str">
        <f>""</f>
        <v/>
      </c>
    </row>
    <row r="2686" spans="1:9" x14ac:dyDescent="0.3">
      <c r="A2686" s="1" t="str">
        <f>"69"</f>
        <v>69</v>
      </c>
      <c r="B2686" s="4" t="str">
        <f>"TABARD AUTOS DEMOLITION"</f>
        <v>TABARD AUTOS DEMOLITION</v>
      </c>
      <c r="C2686" s="4">
        <v>958510026</v>
      </c>
      <c r="D2686" s="3" t="s">
        <v>0</v>
      </c>
      <c r="E2686" s="2" t="str">
        <f>"PR6900003D"</f>
        <v>PR6900003D</v>
      </c>
      <c r="F2686" s="5">
        <v>43473</v>
      </c>
      <c r="G2686" s="5">
        <v>54789</v>
      </c>
      <c r="H2686" s="4" t="str">
        <f>""</f>
        <v/>
      </c>
      <c r="I2686" s="4" t="str">
        <f>""</f>
        <v/>
      </c>
    </row>
    <row r="2687" spans="1:9" x14ac:dyDescent="0.3">
      <c r="A2687" s="1" t="str">
        <f>"69"</f>
        <v>69</v>
      </c>
      <c r="B2687" s="4" t="str">
        <f>"STOP PIECES AUTO"</f>
        <v>STOP PIECES AUTO</v>
      </c>
      <c r="C2687" s="4">
        <v>973412901</v>
      </c>
      <c r="D2687" s="3" t="s">
        <v>0</v>
      </c>
      <c r="E2687" s="2" t="str">
        <f>"PR6900007D"</f>
        <v>PR6900007D</v>
      </c>
      <c r="F2687" s="5">
        <v>38883</v>
      </c>
      <c r="G2687" s="5">
        <v>54789</v>
      </c>
      <c r="H2687" s="4" t="str">
        <f>""</f>
        <v/>
      </c>
      <c r="I2687" s="4" t="str">
        <f>""</f>
        <v/>
      </c>
    </row>
    <row r="2688" spans="1:9" x14ac:dyDescent="0.3">
      <c r="A2688" s="1" t="str">
        <f>"70"</f>
        <v>70</v>
      </c>
      <c r="B2688" s="4" t="str">
        <f>"J3A AUTO "</f>
        <v xml:space="preserve">J3A AUTO </v>
      </c>
      <c r="C2688" s="4">
        <v>329047120</v>
      </c>
      <c r="D2688" s="3" t="s">
        <v>0</v>
      </c>
      <c r="E2688" s="2" t="str">
        <f>"0005902128"</f>
        <v>0005902128</v>
      </c>
      <c r="F2688" s="5">
        <v>43375</v>
      </c>
      <c r="G2688" s="5">
        <v>54789</v>
      </c>
      <c r="H2688" s="4" t="str">
        <f>""</f>
        <v/>
      </c>
      <c r="I2688" s="4" t="str">
        <f>""</f>
        <v/>
      </c>
    </row>
    <row r="2689" spans="1:9" x14ac:dyDescent="0.3">
      <c r="A2689" s="1" t="str">
        <f>"70"</f>
        <v>70</v>
      </c>
      <c r="B2689" s="4" t="str">
        <f>"J3A AUTO "</f>
        <v xml:space="preserve">J3A AUTO </v>
      </c>
      <c r="C2689" s="4">
        <v>329047120</v>
      </c>
      <c r="D2689" s="3" t="s">
        <v>0</v>
      </c>
      <c r="E2689" s="2" t="str">
        <f>"PR7000008D"</f>
        <v>PR7000008D</v>
      </c>
      <c r="F2689" s="5">
        <v>43375</v>
      </c>
      <c r="G2689" s="5">
        <v>54789</v>
      </c>
      <c r="H2689" s="4" t="str">
        <f>""</f>
        <v/>
      </c>
      <c r="I2689" s="4" t="str">
        <f>""</f>
        <v/>
      </c>
    </row>
    <row r="2690" spans="1:9" x14ac:dyDescent="0.3">
      <c r="A2690" s="1" t="str">
        <f>"70"</f>
        <v>70</v>
      </c>
      <c r="B2690" s="4" t="str">
        <f>"CASS'AUTO VAUVILLERS"</f>
        <v>CASS'AUTO VAUVILLERS</v>
      </c>
      <c r="C2690" s="4">
        <v>348419342</v>
      </c>
      <c r="D2690" s="3" t="s">
        <v>0</v>
      </c>
      <c r="E2690" s="2" t="str">
        <f>"0012700194"</f>
        <v>0012700194</v>
      </c>
      <c r="F2690" s="5">
        <v>41993</v>
      </c>
      <c r="G2690" s="5">
        <v>54789</v>
      </c>
      <c r="H2690" s="4" t="str">
        <f>""</f>
        <v/>
      </c>
      <c r="I2690" s="4" t="str">
        <f>""</f>
        <v/>
      </c>
    </row>
    <row r="2691" spans="1:9" x14ac:dyDescent="0.3">
      <c r="A2691" s="1" t="str">
        <f>"70"</f>
        <v>70</v>
      </c>
      <c r="B2691" s="4" t="str">
        <f>"CASS'AUTO VAUVILLERS "</f>
        <v xml:space="preserve">CASS'AUTO VAUVILLERS </v>
      </c>
      <c r="C2691" s="4">
        <v>348419342</v>
      </c>
      <c r="D2691" s="3" t="s">
        <v>0</v>
      </c>
      <c r="E2691" s="2" t="str">
        <f>"PR7000014D"</f>
        <v>PR7000014D</v>
      </c>
      <c r="F2691" s="5">
        <v>41993</v>
      </c>
      <c r="G2691" s="5">
        <v>54789</v>
      </c>
      <c r="H2691" s="4" t="str">
        <f>""</f>
        <v/>
      </c>
      <c r="I2691" s="4" t="str">
        <f>""</f>
        <v/>
      </c>
    </row>
    <row r="2692" spans="1:9" x14ac:dyDescent="0.3">
      <c r="A2692" s="1" t="str">
        <f>"70"</f>
        <v>70</v>
      </c>
      <c r="B2692" s="4" t="str">
        <f>"DEPANNAGE 70 "</f>
        <v xml:space="preserve">DEPANNAGE 70 </v>
      </c>
      <c r="C2692" s="4">
        <v>348419342</v>
      </c>
      <c r="D2692" s="3" t="s">
        <v>0</v>
      </c>
      <c r="E2692" s="2" t="str">
        <f>"0012200040"</f>
        <v>0012200040</v>
      </c>
      <c r="F2692" s="5">
        <v>43811</v>
      </c>
      <c r="G2692" s="5">
        <v>54789</v>
      </c>
      <c r="H2692" s="4" t="str">
        <f>""</f>
        <v/>
      </c>
      <c r="I2692" s="4" t="str">
        <f>""</f>
        <v/>
      </c>
    </row>
    <row r="2693" spans="1:9" x14ac:dyDescent="0.3">
      <c r="A2693" s="1" t="str">
        <f>"70"</f>
        <v>70</v>
      </c>
      <c r="B2693" s="4" t="str">
        <f>"DEPANNAGE 70 "</f>
        <v xml:space="preserve">DEPANNAGE 70 </v>
      </c>
      <c r="C2693" s="4">
        <v>348419342</v>
      </c>
      <c r="D2693" s="3" t="s">
        <v>0</v>
      </c>
      <c r="E2693" s="2" t="str">
        <f>"PR7000003D"</f>
        <v>PR7000003D</v>
      </c>
      <c r="F2693" s="5">
        <v>43811</v>
      </c>
      <c r="G2693" s="5">
        <v>54789</v>
      </c>
      <c r="H2693" s="4" t="str">
        <f>""</f>
        <v/>
      </c>
      <c r="I2693" s="4" t="str">
        <f>""</f>
        <v/>
      </c>
    </row>
    <row r="2694" spans="1:9" x14ac:dyDescent="0.3">
      <c r="A2694" s="1" t="str">
        <f>"70"</f>
        <v>70</v>
      </c>
      <c r="B2694" s="4" t="str">
        <f>"JAQU'AUTO SAS"</f>
        <v>JAQU'AUTO SAS</v>
      </c>
      <c r="C2694" s="4">
        <v>350093936</v>
      </c>
      <c r="D2694" s="3" t="s">
        <v>0</v>
      </c>
      <c r="E2694" s="2" t="str">
        <f>"0012700084"</f>
        <v>0012700084</v>
      </c>
      <c r="F2694" s="5">
        <v>43452</v>
      </c>
      <c r="G2694" s="5">
        <v>54789</v>
      </c>
      <c r="H2694" s="4" t="str">
        <f>""</f>
        <v/>
      </c>
      <c r="I2694" s="4" t="str">
        <f>""</f>
        <v/>
      </c>
    </row>
    <row r="2695" spans="1:9" x14ac:dyDescent="0.3">
      <c r="A2695" s="1" t="str">
        <f>"70"</f>
        <v>70</v>
      </c>
      <c r="B2695" s="4" t="str">
        <f>"JAQU'AUTO SAS"</f>
        <v>JAQU'AUTO SAS</v>
      </c>
      <c r="C2695" s="4">
        <v>350093936</v>
      </c>
      <c r="D2695" s="3" t="s">
        <v>0</v>
      </c>
      <c r="E2695" s="2" t="str">
        <f>"PR7000006D"</f>
        <v>PR7000006D</v>
      </c>
      <c r="F2695" s="5">
        <v>43452</v>
      </c>
      <c r="G2695" s="5">
        <v>54789</v>
      </c>
      <c r="H2695" s="4" t="str">
        <f>""</f>
        <v/>
      </c>
      <c r="I2695" s="4" t="str">
        <f>""</f>
        <v/>
      </c>
    </row>
    <row r="2696" spans="1:9" x14ac:dyDescent="0.3">
      <c r="A2696" s="1" t="str">
        <f>"70"</f>
        <v>70</v>
      </c>
      <c r="B2696" s="4" t="str">
        <f>"CASS AUTO 2000 "</f>
        <v xml:space="preserve">CASS AUTO 2000 </v>
      </c>
      <c r="C2696" s="4">
        <v>353112139</v>
      </c>
      <c r="D2696" s="3" t="s">
        <v>0</v>
      </c>
      <c r="E2696" s="2" t="str">
        <f>"0005901272"</f>
        <v>0005901272</v>
      </c>
      <c r="F2696" s="5">
        <v>43391</v>
      </c>
      <c r="G2696" s="5">
        <v>54789</v>
      </c>
      <c r="H2696" s="4" t="str">
        <f>""</f>
        <v/>
      </c>
      <c r="I2696" s="4" t="str">
        <f>""</f>
        <v/>
      </c>
    </row>
    <row r="2697" spans="1:9" x14ac:dyDescent="0.3">
      <c r="A2697" s="1" t="str">
        <f>"70"</f>
        <v>70</v>
      </c>
      <c r="B2697" s="4" t="str">
        <f>"CASS AUTO 2000 "</f>
        <v xml:space="preserve">CASS AUTO 2000 </v>
      </c>
      <c r="C2697" s="4">
        <v>353112139</v>
      </c>
      <c r="D2697" s="3" t="s">
        <v>0</v>
      </c>
      <c r="E2697" s="2" t="str">
        <f>"PR7000009D"</f>
        <v>PR7000009D</v>
      </c>
      <c r="F2697" s="5">
        <v>43391</v>
      </c>
      <c r="G2697" s="5">
        <v>54789</v>
      </c>
      <c r="H2697" s="4" t="str">
        <f>""</f>
        <v/>
      </c>
      <c r="I2697" s="4" t="str">
        <f>""</f>
        <v/>
      </c>
    </row>
    <row r="2698" spans="1:9" x14ac:dyDescent="0.3">
      <c r="A2698" s="1" t="str">
        <f>"70"</f>
        <v>70</v>
      </c>
      <c r="B2698" s="4" t="str">
        <f>"ED PIECES AUTO "</f>
        <v xml:space="preserve">ED PIECES AUTO </v>
      </c>
      <c r="C2698" s="4">
        <v>392961199</v>
      </c>
      <c r="D2698" s="3" t="s">
        <v>0</v>
      </c>
      <c r="E2698" s="2" t="str">
        <f>"0005903911"</f>
        <v>0005903911</v>
      </c>
      <c r="F2698" s="5">
        <v>43797</v>
      </c>
      <c r="G2698" s="5">
        <v>54789</v>
      </c>
      <c r="H2698" s="4" t="str">
        <f>""</f>
        <v/>
      </c>
      <c r="I2698" s="4" t="str">
        <f>""</f>
        <v/>
      </c>
    </row>
    <row r="2699" spans="1:9" x14ac:dyDescent="0.3">
      <c r="A2699" s="1" t="str">
        <f>"70"</f>
        <v>70</v>
      </c>
      <c r="B2699" s="4" t="str">
        <f>"ED PIECES AUTO "</f>
        <v xml:space="preserve">ED PIECES AUTO </v>
      </c>
      <c r="C2699" s="4">
        <v>392961199</v>
      </c>
      <c r="D2699" s="3" t="s">
        <v>0</v>
      </c>
      <c r="E2699" s="2" t="str">
        <f>"PR7000015D"</f>
        <v>PR7000015D</v>
      </c>
      <c r="F2699" s="5">
        <v>43797</v>
      </c>
      <c r="G2699" s="5">
        <v>54789</v>
      </c>
      <c r="H2699" s="4" t="str">
        <f>""</f>
        <v/>
      </c>
      <c r="I2699" s="4" t="str">
        <f>""</f>
        <v/>
      </c>
    </row>
    <row r="2700" spans="1:9" x14ac:dyDescent="0.3">
      <c r="A2700" s="1" t="str">
        <f>"70"</f>
        <v>70</v>
      </c>
      <c r="B2700" s="4" t="str">
        <f>"STOCK CASSE 70 "</f>
        <v xml:space="preserve">STOCK CASSE 70 </v>
      </c>
      <c r="C2700" s="4">
        <v>393513866</v>
      </c>
      <c r="D2700" s="3" t="s">
        <v>0</v>
      </c>
      <c r="E2700" s="2" t="str">
        <f>"0005901082"</f>
        <v>0005901082</v>
      </c>
      <c r="F2700" s="5">
        <v>43391</v>
      </c>
      <c r="G2700" s="5">
        <v>54789</v>
      </c>
      <c r="H2700" s="4" t="str">
        <f>""</f>
        <v/>
      </c>
      <c r="I2700" s="4" t="str">
        <f>""</f>
        <v/>
      </c>
    </row>
    <row r="2701" spans="1:9" x14ac:dyDescent="0.3">
      <c r="A2701" s="1" t="str">
        <f>"70"</f>
        <v>70</v>
      </c>
      <c r="B2701" s="4" t="str">
        <f>"STOCK CASSE 70 "</f>
        <v xml:space="preserve">STOCK CASSE 70 </v>
      </c>
      <c r="C2701" s="4">
        <v>393513866</v>
      </c>
      <c r="D2701" s="3" t="s">
        <v>0</v>
      </c>
      <c r="E2701" s="2" t="str">
        <f>"PR7000001D"</f>
        <v>PR7000001D</v>
      </c>
      <c r="F2701" s="5">
        <v>43391</v>
      </c>
      <c r="G2701" s="5">
        <v>54789</v>
      </c>
      <c r="H2701" s="4" t="str">
        <f>""</f>
        <v/>
      </c>
      <c r="I2701" s="4" t="str">
        <f>""</f>
        <v/>
      </c>
    </row>
    <row r="2702" spans="1:9" x14ac:dyDescent="0.3">
      <c r="A2702" s="1" t="str">
        <f>"70"</f>
        <v>70</v>
      </c>
      <c r="B2702" s="4" t="str">
        <f>"STOCK CASSE 70"</f>
        <v>STOCK CASSE 70</v>
      </c>
      <c r="C2702" s="4">
        <v>393513866</v>
      </c>
      <c r="D2702" s="3" t="s">
        <v>0</v>
      </c>
      <c r="E2702" s="2" t="str">
        <f>"0003303345"</f>
        <v>0003303345</v>
      </c>
      <c r="F2702" s="5">
        <v>44543</v>
      </c>
      <c r="G2702" s="5">
        <v>54789</v>
      </c>
      <c r="H2702" s="4" t="str">
        <f>""</f>
        <v/>
      </c>
      <c r="I2702" s="4" t="str">
        <f>""</f>
        <v/>
      </c>
    </row>
    <row r="2703" spans="1:9" x14ac:dyDescent="0.3">
      <c r="A2703" s="1" t="str">
        <f>"70"</f>
        <v>70</v>
      </c>
      <c r="B2703" s="4" t="str">
        <f>"STOCK CASSE 70 "</f>
        <v xml:space="preserve">STOCK CASSE 70 </v>
      </c>
      <c r="C2703" s="4">
        <v>393513866</v>
      </c>
      <c r="D2703" s="3" t="s">
        <v>0</v>
      </c>
      <c r="E2703" s="2" t="str">
        <f>"PR7000002D"</f>
        <v>PR7000002D</v>
      </c>
      <c r="F2703" s="5">
        <v>44543</v>
      </c>
      <c r="G2703" s="5">
        <v>54789</v>
      </c>
      <c r="H2703" s="4" t="str">
        <f>""</f>
        <v/>
      </c>
      <c r="I2703" s="4" t="str">
        <f>""</f>
        <v/>
      </c>
    </row>
    <row r="2704" spans="1:9" x14ac:dyDescent="0.3">
      <c r="A2704" s="1" t="str">
        <f>"70"</f>
        <v>70</v>
      </c>
      <c r="B2704" s="4" t="str">
        <f>"CONTAINER SERVICE SARL "</f>
        <v xml:space="preserve">CONTAINER SERVICE SARL </v>
      </c>
      <c r="C2704" s="4">
        <v>494142094</v>
      </c>
      <c r="D2704" s="3" t="s">
        <v>0</v>
      </c>
      <c r="E2704" s="2" t="str">
        <f>"0005904262"</f>
        <v>0005904262</v>
      </c>
      <c r="F2704" s="5">
        <v>43291</v>
      </c>
      <c r="G2704" s="5">
        <v>54789</v>
      </c>
      <c r="H2704" s="4" t="str">
        <f>""</f>
        <v/>
      </c>
      <c r="I2704" s="4" t="str">
        <f>""</f>
        <v/>
      </c>
    </row>
    <row r="2705" spans="1:9" x14ac:dyDescent="0.3">
      <c r="A2705" s="1" t="str">
        <f>"70"</f>
        <v>70</v>
      </c>
      <c r="B2705" s="4" t="str">
        <f>"CONTAINER SERVICE SARL "</f>
        <v xml:space="preserve">CONTAINER SERVICE SARL </v>
      </c>
      <c r="C2705" s="4">
        <v>494142094</v>
      </c>
      <c r="D2705" s="3" t="s">
        <v>0</v>
      </c>
      <c r="E2705" s="2" t="str">
        <f>"PR7000016D"</f>
        <v>PR7000016D</v>
      </c>
      <c r="F2705" s="5">
        <v>43291</v>
      </c>
      <c r="G2705" s="5">
        <v>54789</v>
      </c>
      <c r="H2705" s="4" t="str">
        <f>""</f>
        <v/>
      </c>
      <c r="I2705" s="4" t="str">
        <f>""</f>
        <v/>
      </c>
    </row>
    <row r="2706" spans="1:9" x14ac:dyDescent="0.3">
      <c r="A2706" s="1" t="str">
        <f>"70"</f>
        <v>70</v>
      </c>
      <c r="B2706" s="4" t="str">
        <f>"ESKA CFF RECYCLING "</f>
        <v xml:space="preserve">ESKA CFF RECYCLING </v>
      </c>
      <c r="C2706" s="4">
        <v>558502811</v>
      </c>
      <c r="D2706" s="3" t="s">
        <v>0</v>
      </c>
      <c r="E2706" s="2" t="str">
        <f>"0005901182"</f>
        <v>0005901182</v>
      </c>
      <c r="F2706" s="5">
        <v>43797</v>
      </c>
      <c r="G2706" s="5">
        <v>54789</v>
      </c>
      <c r="H2706" s="4" t="str">
        <f>""</f>
        <v/>
      </c>
      <c r="I2706" s="4" t="str">
        <f>""</f>
        <v/>
      </c>
    </row>
    <row r="2707" spans="1:9" x14ac:dyDescent="0.3">
      <c r="A2707" s="1" t="str">
        <f>"70"</f>
        <v>70</v>
      </c>
      <c r="B2707" s="4" t="str">
        <f>"ESKA CFF RECYCLING "</f>
        <v xml:space="preserve">ESKA CFF RECYCLING </v>
      </c>
      <c r="C2707" s="4">
        <v>558502811</v>
      </c>
      <c r="D2707" s="3" t="s">
        <v>0</v>
      </c>
      <c r="E2707" s="2" t="str">
        <f>"PR7000004D"</f>
        <v>PR7000004D</v>
      </c>
      <c r="F2707" s="5">
        <v>43797</v>
      </c>
      <c r="G2707" s="5">
        <v>54789</v>
      </c>
      <c r="H2707" s="4" t="str">
        <f>""</f>
        <v/>
      </c>
      <c r="I2707" s="4" t="str">
        <f>""</f>
        <v/>
      </c>
    </row>
    <row r="2708" spans="1:9" x14ac:dyDescent="0.3">
      <c r="A2708" s="1" t="str">
        <f>"70"</f>
        <v>70</v>
      </c>
      <c r="B2708" s="4" t="str">
        <f>"FERS ET METAUX"</f>
        <v>FERS ET METAUX</v>
      </c>
      <c r="C2708" s="4">
        <v>677050049</v>
      </c>
      <c r="D2708" s="3" t="s">
        <v>0</v>
      </c>
      <c r="E2708" s="2" t="str">
        <f>"0005901151"</f>
        <v>0005901151</v>
      </c>
      <c r="F2708" s="5">
        <v>45650</v>
      </c>
      <c r="G2708" s="5">
        <v>54789</v>
      </c>
      <c r="H2708" s="4" t="str">
        <f>""</f>
        <v/>
      </c>
      <c r="I2708" s="4" t="str">
        <f>""</f>
        <v/>
      </c>
    </row>
    <row r="2709" spans="1:9" x14ac:dyDescent="0.3">
      <c r="A2709" s="1" t="str">
        <f>"70"</f>
        <v>70</v>
      </c>
      <c r="B2709" s="4" t="str">
        <f>"FERS ET METAUX"</f>
        <v>FERS ET METAUX</v>
      </c>
      <c r="C2709" s="4">
        <v>677050049</v>
      </c>
      <c r="D2709" s="3" t="s">
        <v>0</v>
      </c>
      <c r="E2709" s="2" t="str">
        <f>"PR7000012D"</f>
        <v>PR7000012D</v>
      </c>
      <c r="F2709" s="5">
        <v>45650</v>
      </c>
      <c r="G2709" s="5">
        <v>54789</v>
      </c>
      <c r="H2709" s="4" t="str">
        <f>""</f>
        <v/>
      </c>
      <c r="I2709" s="4" t="str">
        <f>""</f>
        <v/>
      </c>
    </row>
    <row r="2710" spans="1:9" x14ac:dyDescent="0.3">
      <c r="A2710" s="1" t="str">
        <f>"70"</f>
        <v>70</v>
      </c>
      <c r="B2710" s="4" t="str">
        <f>"EUROCASSE "</f>
        <v xml:space="preserve">EUROCASSE </v>
      </c>
      <c r="C2710" s="4">
        <v>750603946</v>
      </c>
      <c r="D2710" s="3" t="s">
        <v>0</v>
      </c>
      <c r="E2710" s="2" t="str">
        <f>"0012200147"</f>
        <v>0012200147</v>
      </c>
      <c r="F2710" s="5">
        <v>43623</v>
      </c>
      <c r="G2710" s="5">
        <v>54789</v>
      </c>
      <c r="H2710" s="4" t="str">
        <f>""</f>
        <v/>
      </c>
      <c r="I2710" s="4" t="str">
        <f>""</f>
        <v/>
      </c>
    </row>
    <row r="2711" spans="1:9" x14ac:dyDescent="0.3">
      <c r="A2711" s="1" t="str">
        <f>"70"</f>
        <v>70</v>
      </c>
      <c r="B2711" s="4" t="str">
        <f>"EUROCASSE "</f>
        <v xml:space="preserve">EUROCASSE </v>
      </c>
      <c r="C2711" s="4">
        <v>750603946</v>
      </c>
      <c r="D2711" s="3" t="s">
        <v>0</v>
      </c>
      <c r="E2711" s="2" t="str">
        <f>"PR7000007D"</f>
        <v>PR7000007D</v>
      </c>
      <c r="F2711" s="5">
        <v>43623</v>
      </c>
      <c r="G2711" s="5">
        <v>54789</v>
      </c>
      <c r="H2711" s="4" t="str">
        <f>""</f>
        <v/>
      </c>
      <c r="I2711" s="4" t="str">
        <f>""</f>
        <v/>
      </c>
    </row>
    <row r="2712" spans="1:9" x14ac:dyDescent="0.3">
      <c r="A2712" s="1" t="str">
        <f>"70"</f>
        <v>70</v>
      </c>
      <c r="B2712" s="4" t="str">
        <f>"CASSE AUTO JACQUINOT "</f>
        <v xml:space="preserve">CASSE AUTO JACQUINOT </v>
      </c>
      <c r="C2712" s="4">
        <v>814833646</v>
      </c>
      <c r="D2712" s="3" t="s">
        <v>0</v>
      </c>
      <c r="E2712" s="2" t="str">
        <f>"0005901293"</f>
        <v>0005901293</v>
      </c>
      <c r="F2712" s="5">
        <v>42507</v>
      </c>
      <c r="G2712" s="5">
        <v>54789</v>
      </c>
      <c r="H2712" s="4" t="str">
        <f>""</f>
        <v/>
      </c>
      <c r="I2712" s="4" t="str">
        <f>""</f>
        <v/>
      </c>
    </row>
    <row r="2713" spans="1:9" x14ac:dyDescent="0.3">
      <c r="A2713" s="1" t="str">
        <f>"70"</f>
        <v>70</v>
      </c>
      <c r="B2713" s="4" t="str">
        <f>"CASSE AUTO JACQUINOT "</f>
        <v xml:space="preserve">CASSE AUTO JACQUINOT </v>
      </c>
      <c r="C2713" s="4">
        <v>814833646</v>
      </c>
      <c r="D2713" s="3" t="s">
        <v>0</v>
      </c>
      <c r="E2713" s="2" t="str">
        <f>"PR7000017D"</f>
        <v>PR7000017D</v>
      </c>
      <c r="F2713" s="5">
        <v>42507</v>
      </c>
      <c r="G2713" s="5">
        <v>54789</v>
      </c>
      <c r="H2713" s="4" t="str">
        <f>""</f>
        <v/>
      </c>
      <c r="I2713" s="4" t="str">
        <f>""</f>
        <v/>
      </c>
    </row>
    <row r="2714" spans="1:9" x14ac:dyDescent="0.3">
      <c r="A2714" s="1" t="str">
        <f>"70"</f>
        <v>70</v>
      </c>
      <c r="B2714" s="4" t="str">
        <f>"REMY ETS"</f>
        <v>REMY ETS</v>
      </c>
      <c r="C2714" s="4">
        <v>890230741</v>
      </c>
      <c r="D2714" s="3" t="s">
        <v>0</v>
      </c>
      <c r="E2714" s="2" t="str">
        <f>"0012200132"</f>
        <v>0012200132</v>
      </c>
      <c r="F2714" s="5">
        <v>44384</v>
      </c>
      <c r="G2714" s="5">
        <v>54789</v>
      </c>
      <c r="H2714" s="4" t="str">
        <f>""</f>
        <v/>
      </c>
      <c r="I2714" s="4" t="str">
        <f>""</f>
        <v/>
      </c>
    </row>
    <row r="2715" spans="1:9" x14ac:dyDescent="0.3">
      <c r="A2715" s="1" t="str">
        <f>"70"</f>
        <v>70</v>
      </c>
      <c r="B2715" s="4" t="str">
        <f>"REMY ETS "</f>
        <v xml:space="preserve">REMY ETS </v>
      </c>
      <c r="C2715" s="4">
        <v>890230741</v>
      </c>
      <c r="D2715" s="3" t="s">
        <v>0</v>
      </c>
      <c r="E2715" s="2" t="str">
        <f>"PR7000011D"</f>
        <v>PR7000011D</v>
      </c>
      <c r="F2715" s="5">
        <v>44384</v>
      </c>
      <c r="G2715" s="5">
        <v>54789</v>
      </c>
      <c r="H2715" s="4" t="str">
        <f>""</f>
        <v/>
      </c>
      <c r="I2715" s="4" t="str">
        <f>""</f>
        <v/>
      </c>
    </row>
    <row r="2716" spans="1:9" x14ac:dyDescent="0.3">
      <c r="A2716" s="1" t="str">
        <f>"70"</f>
        <v>70</v>
      </c>
      <c r="B2716" s="4" t="str">
        <f>"SARL CAR KASS 70"</f>
        <v>SARL CAR KASS 70</v>
      </c>
      <c r="C2716" s="4">
        <v>979565892</v>
      </c>
      <c r="D2716" s="3" t="s">
        <v>0</v>
      </c>
      <c r="E2716" s="2" t="str">
        <f>"0012200033"</f>
        <v>0012200033</v>
      </c>
      <c r="F2716" s="5">
        <v>45656</v>
      </c>
      <c r="G2716" s="5">
        <v>54789</v>
      </c>
      <c r="H2716" s="4" t="str">
        <f>""</f>
        <v/>
      </c>
      <c r="I2716" s="4" t="str">
        <f>""</f>
        <v/>
      </c>
    </row>
    <row r="2717" spans="1:9" x14ac:dyDescent="0.3">
      <c r="A2717" s="1" t="str">
        <f>"70"</f>
        <v>70</v>
      </c>
      <c r="B2717" s="4" t="str">
        <f>"SARL CAR KASS 70 "</f>
        <v xml:space="preserve">SARL CAR KASS 70 </v>
      </c>
      <c r="C2717" s="4">
        <v>979565892</v>
      </c>
      <c r="D2717" s="3" t="s">
        <v>0</v>
      </c>
      <c r="E2717" s="2" t="str">
        <f>"PR7000005D"</f>
        <v>PR7000005D</v>
      </c>
      <c r="F2717" s="5">
        <v>45656</v>
      </c>
      <c r="G2717" s="5">
        <v>54789</v>
      </c>
      <c r="H2717" s="4" t="str">
        <f>""</f>
        <v/>
      </c>
      <c r="I2717" s="4" t="str">
        <f>""</f>
        <v/>
      </c>
    </row>
    <row r="2718" spans="1:9" x14ac:dyDescent="0.3">
      <c r="A2718" s="1" t="str">
        <f>"71"</f>
        <v>71</v>
      </c>
      <c r="B2718" s="4" t="str">
        <f>"SAS TOURNUS DEMOLITION AUTO"</f>
        <v>SAS TOURNUS DEMOLITION AUTO</v>
      </c>
      <c r="C2718" s="4">
        <v>330606724</v>
      </c>
      <c r="D2718" s="3" t="s">
        <v>0</v>
      </c>
      <c r="E2718" s="2" t="str">
        <f>"0024700109"</f>
        <v>0024700109</v>
      </c>
      <c r="F2718" s="5">
        <v>43021</v>
      </c>
      <c r="G2718" s="5">
        <v>54789</v>
      </c>
      <c r="H2718" s="4" t="str">
        <f>""</f>
        <v/>
      </c>
      <c r="I2718" s="4" t="str">
        <f>""</f>
        <v/>
      </c>
    </row>
    <row r="2719" spans="1:9" x14ac:dyDescent="0.3">
      <c r="A2719" s="1" t="str">
        <f>"71"</f>
        <v>71</v>
      </c>
      <c r="B2719" s="4" t="str">
        <f>"SAS TOURNUS DEMOLITION AUTO"</f>
        <v>SAS TOURNUS DEMOLITION AUTO</v>
      </c>
      <c r="C2719" s="4">
        <v>330606724</v>
      </c>
      <c r="D2719" s="3" t="s">
        <v>0</v>
      </c>
      <c r="E2719" s="2" t="str">
        <f>"PR7100002D"</f>
        <v>PR7100002D</v>
      </c>
      <c r="F2719" s="5">
        <v>38855</v>
      </c>
      <c r="G2719" s="5">
        <v>54789</v>
      </c>
      <c r="H2719" s="4" t="str">
        <f>""</f>
        <v/>
      </c>
      <c r="I2719" s="4" t="str">
        <f>""</f>
        <v/>
      </c>
    </row>
    <row r="2720" spans="1:9" x14ac:dyDescent="0.3">
      <c r="A2720" s="1" t="str">
        <f>"71"</f>
        <v>71</v>
      </c>
      <c r="B2720" s="4" t="str">
        <f>"SARL AUTO PIECES LOUHANS"</f>
        <v>SARL AUTO PIECES LOUHANS</v>
      </c>
      <c r="C2720" s="4">
        <v>383652658</v>
      </c>
      <c r="D2720" s="3" t="s">
        <v>0</v>
      </c>
      <c r="E2720" s="2" t="str">
        <f>"PR7100004D"</f>
        <v>PR7100004D</v>
      </c>
      <c r="F2720" s="5">
        <v>43202</v>
      </c>
      <c r="G2720" s="5">
        <v>54789</v>
      </c>
      <c r="H2720" s="4" t="str">
        <f>""</f>
        <v/>
      </c>
      <c r="I2720" s="4" t="str">
        <f>""</f>
        <v/>
      </c>
    </row>
    <row r="2721" spans="1:9" x14ac:dyDescent="0.3">
      <c r="A2721" s="1" t="str">
        <f>"71"</f>
        <v>71</v>
      </c>
      <c r="B2721" s="4" t="str">
        <f>"SARL AUTO PIECES LOUHANS"</f>
        <v>SARL AUTO PIECES LOUHANS</v>
      </c>
      <c r="C2721" s="4">
        <v>383652658</v>
      </c>
      <c r="D2721" s="3" t="s">
        <v>0</v>
      </c>
      <c r="E2721" s="2" t="str">
        <f>"0024600004"</f>
        <v>0024600004</v>
      </c>
      <c r="F2721" s="5">
        <v>43202</v>
      </c>
      <c r="G2721" s="5">
        <v>54789</v>
      </c>
      <c r="H2721" s="4" t="str">
        <f>""</f>
        <v/>
      </c>
      <c r="I2721" s="4" t="str">
        <f>""</f>
        <v/>
      </c>
    </row>
    <row r="2722" spans="1:9" x14ac:dyDescent="0.3">
      <c r="A2722" s="1" t="str">
        <f>"71"</f>
        <v>71</v>
      </c>
      <c r="B2722" s="4" t="str">
        <f>"GARAGE MORVAN AUTO PIECES"</f>
        <v>GARAGE MORVAN AUTO PIECES</v>
      </c>
      <c r="C2722" s="4">
        <v>384242103</v>
      </c>
      <c r="D2722" s="3" t="s">
        <v>0</v>
      </c>
      <c r="E2722" s="2" t="str">
        <f>"00054001688"</f>
        <v>00054001688</v>
      </c>
      <c r="F2722" s="5">
        <v>43021</v>
      </c>
      <c r="G2722" s="5">
        <v>54789</v>
      </c>
      <c r="H2722" s="4" t="str">
        <f>""</f>
        <v/>
      </c>
      <c r="I2722" s="4" t="str">
        <f>""</f>
        <v/>
      </c>
    </row>
    <row r="2723" spans="1:9" x14ac:dyDescent="0.3">
      <c r="A2723" s="1" t="str">
        <f>"71"</f>
        <v>71</v>
      </c>
      <c r="B2723" s="4" t="str">
        <f>"GARAGE MORVAN AUTO PIECES"</f>
        <v>GARAGE MORVAN AUTO PIECES</v>
      </c>
      <c r="C2723" s="4">
        <v>384242103</v>
      </c>
      <c r="D2723" s="3" t="s">
        <v>0</v>
      </c>
      <c r="E2723" s="2" t="str">
        <f>"PR7100006D"</f>
        <v>PR7100006D</v>
      </c>
      <c r="F2723" s="5">
        <v>38890</v>
      </c>
      <c r="G2723" s="5">
        <v>54789</v>
      </c>
      <c r="H2723" s="4" t="str">
        <f>""</f>
        <v/>
      </c>
      <c r="I2723" s="4" t="str">
        <f>""</f>
        <v/>
      </c>
    </row>
    <row r="2724" spans="1:9" x14ac:dyDescent="0.3">
      <c r="A2724" s="1" t="str">
        <f>"71"</f>
        <v>71</v>
      </c>
      <c r="B2724" s="4" t="str">
        <f>"SARL CAILLE ET FILS"</f>
        <v>SARL CAILLE ET FILS</v>
      </c>
      <c r="C2724" s="4">
        <v>391870649</v>
      </c>
      <c r="D2724" s="3" t="s">
        <v>0</v>
      </c>
      <c r="E2724" s="2" t="str">
        <f>"0024700102"</f>
        <v>0024700102</v>
      </c>
      <c r="F2724" s="5">
        <v>43894</v>
      </c>
      <c r="G2724" s="5">
        <v>54789</v>
      </c>
      <c r="H2724" s="4" t="str">
        <f>""</f>
        <v/>
      </c>
      <c r="I2724" s="4" t="str">
        <f>""</f>
        <v/>
      </c>
    </row>
    <row r="2725" spans="1:9" x14ac:dyDescent="0.3">
      <c r="A2725" s="1" t="str">
        <f>"71"</f>
        <v>71</v>
      </c>
      <c r="B2725" s="4" t="str">
        <f>"SARL CAILLE ET FILS"</f>
        <v>SARL CAILLE ET FILS</v>
      </c>
      <c r="C2725" s="4">
        <v>391870649</v>
      </c>
      <c r="D2725" s="3" t="s">
        <v>0</v>
      </c>
      <c r="E2725" s="2" t="str">
        <f>"PR7100016D"</f>
        <v>PR7100016D</v>
      </c>
      <c r="F2725" s="5">
        <v>43894</v>
      </c>
      <c r="G2725" s="5">
        <v>54789</v>
      </c>
      <c r="H2725" s="4" t="str">
        <f>""</f>
        <v/>
      </c>
      <c r="I2725" s="4" t="str">
        <f>""</f>
        <v/>
      </c>
    </row>
    <row r="2726" spans="1:9" x14ac:dyDescent="0.3">
      <c r="A2726" s="1" t="str">
        <f>"71"</f>
        <v>71</v>
      </c>
      <c r="B2726" s="4" t="str">
        <f>"SARL AUTOS PIECES 71"</f>
        <v>SARL AUTOS PIECES 71</v>
      </c>
      <c r="C2726" s="4">
        <v>394516025</v>
      </c>
      <c r="D2726" s="3" t="s">
        <v>0</v>
      </c>
      <c r="E2726" s="2" t="str">
        <f>"AUTO PIECES 71"</f>
        <v>AUTO PIECES 71</v>
      </c>
      <c r="F2726" s="5">
        <v>43007</v>
      </c>
      <c r="G2726" s="5">
        <v>54789</v>
      </c>
      <c r="H2726" s="4" t="str">
        <f>""</f>
        <v/>
      </c>
      <c r="I2726" s="4" t="str">
        <f>""</f>
        <v/>
      </c>
    </row>
    <row r="2727" spans="1:9" x14ac:dyDescent="0.3">
      <c r="A2727" s="1" t="str">
        <f>"71"</f>
        <v>71</v>
      </c>
      <c r="B2727" s="4" t="str">
        <f>"AUTO PIECES 71"</f>
        <v>AUTO PIECES 71</v>
      </c>
      <c r="C2727" s="4">
        <v>394516025</v>
      </c>
      <c r="D2727" s="3" t="s">
        <v>0</v>
      </c>
      <c r="E2727" s="2" t="str">
        <f>"0024700055"</f>
        <v>0024700055</v>
      </c>
      <c r="F2727" s="5">
        <v>43007</v>
      </c>
      <c r="G2727" s="5">
        <v>54789</v>
      </c>
      <c r="H2727" s="4" t="str">
        <f>""</f>
        <v/>
      </c>
      <c r="I2727" s="4" t="str">
        <f>""</f>
        <v/>
      </c>
    </row>
    <row r="2728" spans="1:9" x14ac:dyDescent="0.3">
      <c r="A2728" s="1" t="str">
        <f>"71"</f>
        <v>71</v>
      </c>
      <c r="B2728" s="4" t="str">
        <f>"AUTO PIECES 71"</f>
        <v>AUTO PIECES 71</v>
      </c>
      <c r="C2728" s="4">
        <v>394516025</v>
      </c>
      <c r="D2728" s="3" t="s">
        <v>0</v>
      </c>
      <c r="E2728" s="2" t="str">
        <f>"PR7100017D"</f>
        <v>PR7100017D</v>
      </c>
      <c r="F2728" s="5">
        <v>39098</v>
      </c>
      <c r="G2728" s="5">
        <v>54789</v>
      </c>
      <c r="H2728" s="4" t="str">
        <f>""</f>
        <v/>
      </c>
      <c r="I2728" s="4" t="str">
        <f>""</f>
        <v/>
      </c>
    </row>
    <row r="2729" spans="1:9" x14ac:dyDescent="0.3">
      <c r="A2729" s="1" t="str">
        <f>"71"</f>
        <v>71</v>
      </c>
      <c r="B2729" s="4" t="str">
        <f>"SARL AUTOS PIECES 71"</f>
        <v>SARL AUTOS PIECES 71</v>
      </c>
      <c r="C2729" s="4">
        <v>394516025</v>
      </c>
      <c r="D2729" s="3" t="s">
        <v>0</v>
      </c>
      <c r="E2729" s="2" t="str">
        <f>"AUTO PIECES 71"</f>
        <v>AUTO PIECES 71</v>
      </c>
      <c r="F2729" s="5">
        <v>39098</v>
      </c>
      <c r="G2729" s="5">
        <v>54789</v>
      </c>
      <c r="H2729" s="4" t="str">
        <f>""</f>
        <v/>
      </c>
      <c r="I2729" s="4" t="str">
        <f>""</f>
        <v/>
      </c>
    </row>
    <row r="2730" spans="1:9" x14ac:dyDescent="0.3">
      <c r="A2730" s="1" t="str">
        <f>"71"</f>
        <v>71</v>
      </c>
      <c r="B2730" s="4" t="str">
        <f>"SARL SMAP"</f>
        <v>SARL SMAP</v>
      </c>
      <c r="C2730" s="4">
        <v>398470385</v>
      </c>
      <c r="D2730" s="3" t="s">
        <v>0</v>
      </c>
      <c r="E2730" s="2" t="str">
        <f>"0024700095"</f>
        <v>0024700095</v>
      </c>
      <c r="F2730" s="5">
        <v>43035</v>
      </c>
      <c r="G2730" s="5">
        <v>54789</v>
      </c>
      <c r="H2730" s="4" t="str">
        <f>""</f>
        <v/>
      </c>
      <c r="I2730" s="4" t="str">
        <f>""</f>
        <v/>
      </c>
    </row>
    <row r="2731" spans="1:9" x14ac:dyDescent="0.3">
      <c r="A2731" s="1" t="str">
        <f>"71"</f>
        <v>71</v>
      </c>
      <c r="B2731" s="4" t="str">
        <f>"SARL SMAP"</f>
        <v>SARL SMAP</v>
      </c>
      <c r="C2731" s="4">
        <v>398470385</v>
      </c>
      <c r="D2731" s="3" t="s">
        <v>0</v>
      </c>
      <c r="E2731" s="2" t="str">
        <f>"PR7100003D"</f>
        <v>PR7100003D</v>
      </c>
      <c r="F2731" s="5">
        <v>38859</v>
      </c>
      <c r="G2731" s="5">
        <v>54789</v>
      </c>
      <c r="H2731" s="4" t="str">
        <f>""</f>
        <v/>
      </c>
      <c r="I2731" s="4" t="str">
        <f>""</f>
        <v/>
      </c>
    </row>
    <row r="2732" spans="1:9" x14ac:dyDescent="0.3">
      <c r="A2732" s="1" t="str">
        <f>"71"</f>
        <v>71</v>
      </c>
      <c r="B2732" s="4" t="str">
        <f>"SARL PARAY AUTO CASSE"</f>
        <v>SARL PARAY AUTO CASSE</v>
      </c>
      <c r="C2732" s="4">
        <v>402312300</v>
      </c>
      <c r="D2732" s="3" t="s">
        <v>0</v>
      </c>
      <c r="E2732" s="2" t="str">
        <f>"PR7100014D"</f>
        <v>PR7100014D</v>
      </c>
      <c r="F2732" s="5">
        <v>43084</v>
      </c>
      <c r="G2732" s="5">
        <v>54789</v>
      </c>
      <c r="H2732" s="4" t="str">
        <f>""</f>
        <v/>
      </c>
      <c r="I2732" s="4" t="str">
        <f>""</f>
        <v/>
      </c>
    </row>
    <row r="2733" spans="1:9" x14ac:dyDescent="0.3">
      <c r="A2733" s="1" t="str">
        <f>"71"</f>
        <v>71</v>
      </c>
      <c r="B2733" s="4" t="str">
        <f>"SARL PARAY AUTO CASSE"</f>
        <v>SARL PARAY AUTO CASSE</v>
      </c>
      <c r="C2733" s="4">
        <v>402312300</v>
      </c>
      <c r="D2733" s="3" t="s">
        <v>0</v>
      </c>
      <c r="E2733" s="2" t="str">
        <f>"0024700085"</f>
        <v>0024700085</v>
      </c>
      <c r="F2733" s="5">
        <v>43084</v>
      </c>
      <c r="G2733" s="5">
        <v>54789</v>
      </c>
      <c r="H2733" s="4" t="str">
        <f>""</f>
        <v/>
      </c>
      <c r="I2733" s="4" t="str">
        <f>""</f>
        <v/>
      </c>
    </row>
    <row r="2734" spans="1:9" x14ac:dyDescent="0.3">
      <c r="A2734" s="1" t="str">
        <f>"71"</f>
        <v>71</v>
      </c>
      <c r="B2734" s="4" t="str">
        <f>"S0CIETE BRESSE RECUP"</f>
        <v>S0CIETE BRESSE RECUP</v>
      </c>
      <c r="C2734" s="4">
        <v>404295883</v>
      </c>
      <c r="D2734" s="3" t="s">
        <v>0</v>
      </c>
      <c r="E2734" s="2" t="str">
        <f>"0005401725"</f>
        <v>0005401725</v>
      </c>
      <c r="F2734" s="5">
        <v>43286</v>
      </c>
      <c r="G2734" s="5">
        <v>54789</v>
      </c>
      <c r="H2734" s="4" t="str">
        <f>""</f>
        <v/>
      </c>
      <c r="I2734" s="4" t="str">
        <f>""</f>
        <v/>
      </c>
    </row>
    <row r="2735" spans="1:9" x14ac:dyDescent="0.3">
      <c r="A2735" s="1" t="str">
        <f>"71"</f>
        <v>71</v>
      </c>
      <c r="B2735" s="4" t="str">
        <f>"S0CIETE BRESSE RECUP"</f>
        <v>S0CIETE BRESSE RECUP</v>
      </c>
      <c r="C2735" s="4">
        <v>404295883</v>
      </c>
      <c r="D2735" s="3" t="s">
        <v>0</v>
      </c>
      <c r="E2735" s="2" t="str">
        <f>"PR71000027D"</f>
        <v>PR71000027D</v>
      </c>
      <c r="F2735" s="5">
        <v>41134</v>
      </c>
      <c r="G2735" s="5">
        <v>54789</v>
      </c>
      <c r="H2735" s="4" t="str">
        <f>""</f>
        <v/>
      </c>
      <c r="I2735" s="4" t="str">
        <f>""</f>
        <v/>
      </c>
    </row>
    <row r="2736" spans="1:9" x14ac:dyDescent="0.3">
      <c r="A2736" s="1" t="str">
        <f>"71"</f>
        <v>71</v>
      </c>
      <c r="B2736" s="4" t="str">
        <f>"CASSE DU VAL D'ARROUX"</f>
        <v>CASSE DU VAL D'ARROUX</v>
      </c>
      <c r="C2736" s="4">
        <v>448015545</v>
      </c>
      <c r="D2736" s="3" t="s">
        <v>0</v>
      </c>
      <c r="E2736" s="2" t="str">
        <f>"0024700053"</f>
        <v>0024700053</v>
      </c>
      <c r="F2736" s="5">
        <v>43021</v>
      </c>
      <c r="G2736" s="5">
        <v>54789</v>
      </c>
      <c r="H2736" s="4" t="str">
        <f>""</f>
        <v/>
      </c>
      <c r="I2736" s="4" t="str">
        <f>""</f>
        <v/>
      </c>
    </row>
    <row r="2737" spans="1:9" x14ac:dyDescent="0.3">
      <c r="A2737" s="1" t="str">
        <f>"71"</f>
        <v>71</v>
      </c>
      <c r="B2737" s="4" t="str">
        <f>"CASSE DU VAL D'ARROUX"</f>
        <v>CASSE DU VAL D'ARROUX</v>
      </c>
      <c r="C2737" s="4">
        <v>448015545</v>
      </c>
      <c r="D2737" s="3" t="s">
        <v>0</v>
      </c>
      <c r="E2737" s="2" t="str">
        <f>"PR7100013D"</f>
        <v>PR7100013D</v>
      </c>
      <c r="F2737" s="5">
        <v>38999</v>
      </c>
      <c r="G2737" s="5">
        <v>54789</v>
      </c>
      <c r="H2737" s="4" t="str">
        <f>""</f>
        <v/>
      </c>
      <c r="I2737" s="4" t="str">
        <f>""</f>
        <v/>
      </c>
    </row>
    <row r="2738" spans="1:9" x14ac:dyDescent="0.3">
      <c r="A2738" s="1" t="str">
        <f>"71"</f>
        <v>71</v>
      </c>
      <c r="B2738" s="4" t="str">
        <f>"SARL PICARD RECUPERATION ET RECYCLAGE"</f>
        <v>SARL PICARD RECUPERATION ET RECYCLAGE</v>
      </c>
      <c r="C2738" s="4">
        <v>450422068</v>
      </c>
      <c r="D2738" s="3" t="s">
        <v>0</v>
      </c>
      <c r="E2738" s="2" t="str">
        <f>"PR7100005D"</f>
        <v>PR7100005D</v>
      </c>
      <c r="F2738" s="5">
        <v>43074</v>
      </c>
      <c r="G2738" s="5">
        <v>54789</v>
      </c>
      <c r="H2738" s="4" t="str">
        <f>""</f>
        <v/>
      </c>
      <c r="I2738" s="4" t="str">
        <f>""</f>
        <v/>
      </c>
    </row>
    <row r="2739" spans="1:9" x14ac:dyDescent="0.3">
      <c r="A2739" s="1" t="str">
        <f>"71"</f>
        <v>71</v>
      </c>
      <c r="B2739" s="4" t="str">
        <f>"SARL PICARD RECUPERATION ET RECYCLAGE"</f>
        <v>SARL PICARD RECUPERATION ET RECYCLAGE</v>
      </c>
      <c r="C2739" s="4">
        <v>450422068</v>
      </c>
      <c r="D2739" s="3" t="s">
        <v>0</v>
      </c>
      <c r="E2739" s="2" t="str">
        <f>"0024700022"</f>
        <v>0024700022</v>
      </c>
      <c r="F2739" s="5">
        <v>43021</v>
      </c>
      <c r="G2739" s="5">
        <v>54789</v>
      </c>
      <c r="H2739" s="4" t="str">
        <f>""</f>
        <v/>
      </c>
      <c r="I2739" s="4" t="str">
        <f>""</f>
        <v/>
      </c>
    </row>
    <row r="2740" spans="1:9" x14ac:dyDescent="0.3">
      <c r="A2740" s="1" t="str">
        <f>"71"</f>
        <v>71</v>
      </c>
      <c r="B2740" s="4" t="str">
        <f>"SOCIETE VAISON RACING"</f>
        <v>SOCIETE VAISON RACING</v>
      </c>
      <c r="C2740" s="4">
        <v>453598492</v>
      </c>
      <c r="D2740" s="3" t="s">
        <v>0</v>
      </c>
      <c r="E2740" s="2" t="str">
        <f>"0003303100"</f>
        <v>0003303100</v>
      </c>
      <c r="F2740" s="5">
        <v>44461</v>
      </c>
      <c r="G2740" s="5">
        <v>54789</v>
      </c>
      <c r="H2740" s="4" t="str">
        <f>""</f>
        <v/>
      </c>
      <c r="I2740" s="4" t="str">
        <f>""</f>
        <v/>
      </c>
    </row>
    <row r="2741" spans="1:9" x14ac:dyDescent="0.3">
      <c r="A2741" s="1" t="str">
        <f>"71"</f>
        <v>71</v>
      </c>
      <c r="B2741" s="4" t="str">
        <f>"SOCIETE VAISON RACING"</f>
        <v>SOCIETE VAISON RACING</v>
      </c>
      <c r="C2741" s="4">
        <v>453598492</v>
      </c>
      <c r="D2741" s="3" t="s">
        <v>0</v>
      </c>
      <c r="E2741" s="2" t="str">
        <f>"PR7100029D"</f>
        <v>PR7100029D</v>
      </c>
      <c r="F2741" s="5">
        <v>44461</v>
      </c>
      <c r="G2741" s="5">
        <v>54789</v>
      </c>
      <c r="H2741" s="4" t="str">
        <f>""</f>
        <v/>
      </c>
      <c r="I2741" s="4" t="str">
        <f>""</f>
        <v/>
      </c>
    </row>
    <row r="2742" spans="1:9" x14ac:dyDescent="0.3">
      <c r="A2742" s="1" t="str">
        <f>"71"</f>
        <v>71</v>
      </c>
      <c r="B2742" s="4" t="str">
        <f>"CASSE AUTO RAVIER"</f>
        <v>CASSE AUTO RAVIER</v>
      </c>
      <c r="C2742" s="4">
        <v>484095047</v>
      </c>
      <c r="D2742" s="3" t="s">
        <v>0</v>
      </c>
      <c r="E2742" s="2" t="str">
        <f>"0025200009"</f>
        <v>0025200009</v>
      </c>
      <c r="F2742" s="5">
        <v>43021</v>
      </c>
      <c r="G2742" s="5">
        <v>54789</v>
      </c>
      <c r="H2742" s="4" t="str">
        <f>""</f>
        <v/>
      </c>
      <c r="I2742" s="4" t="str">
        <f>""</f>
        <v/>
      </c>
    </row>
    <row r="2743" spans="1:9" x14ac:dyDescent="0.3">
      <c r="A2743" s="1" t="str">
        <f>"71"</f>
        <v>71</v>
      </c>
      <c r="B2743" s="4" t="str">
        <f>"CASSE AUTO RAVIER"</f>
        <v>CASSE AUTO RAVIER</v>
      </c>
      <c r="C2743" s="4">
        <v>484095047</v>
      </c>
      <c r="D2743" s="3" t="s">
        <v>0</v>
      </c>
      <c r="E2743" s="2" t="str">
        <f>"PR7100015D"</f>
        <v>PR7100015D</v>
      </c>
      <c r="F2743" s="5">
        <v>40830</v>
      </c>
      <c r="G2743" s="5">
        <v>54789</v>
      </c>
      <c r="H2743" s="4" t="str">
        <f>""</f>
        <v/>
      </c>
      <c r="I2743" s="4" t="str">
        <f>""</f>
        <v/>
      </c>
    </row>
    <row r="2744" spans="1:9" x14ac:dyDescent="0.3">
      <c r="A2744" s="1" t="str">
        <f>"71"</f>
        <v>71</v>
      </c>
      <c r="B2744" s="4" t="str">
        <f>"EURL DB AUTO"</f>
        <v>EURL DB AUTO</v>
      </c>
      <c r="C2744" s="4">
        <v>508461159</v>
      </c>
      <c r="D2744" s="3" t="s">
        <v>0</v>
      </c>
      <c r="E2744" s="2" t="str">
        <f>"PR7100021D"</f>
        <v>PR7100021D</v>
      </c>
      <c r="F2744" s="5">
        <v>43311</v>
      </c>
      <c r="G2744" s="5">
        <v>54789</v>
      </c>
      <c r="H2744" s="4" t="str">
        <f>""</f>
        <v/>
      </c>
      <c r="I2744" s="4" t="str">
        <f>""</f>
        <v/>
      </c>
    </row>
    <row r="2745" spans="1:9" x14ac:dyDescent="0.3">
      <c r="A2745" s="1" t="str">
        <f>"71"</f>
        <v>71</v>
      </c>
      <c r="B2745" s="4" t="str">
        <f>"EURL DB AUTO"</f>
        <v>EURL DB AUTO</v>
      </c>
      <c r="C2745" s="4">
        <v>508461159</v>
      </c>
      <c r="D2745" s="3" t="s">
        <v>0</v>
      </c>
      <c r="E2745" s="2" t="str">
        <f>"0024700104"</f>
        <v>0024700104</v>
      </c>
      <c r="F2745" s="5">
        <v>43311</v>
      </c>
      <c r="G2745" s="5">
        <v>54789</v>
      </c>
      <c r="H2745" s="4" t="str">
        <f>""</f>
        <v/>
      </c>
      <c r="I2745" s="4" t="str">
        <f>""</f>
        <v/>
      </c>
    </row>
    <row r="2746" spans="1:9" x14ac:dyDescent="0.3">
      <c r="A2746" s="1" t="str">
        <f>"71"</f>
        <v>71</v>
      </c>
      <c r="B2746" s="4" t="str">
        <f>"SAS ESKA"</f>
        <v>SAS ESKA</v>
      </c>
      <c r="C2746" s="4">
        <v>558502811</v>
      </c>
      <c r="D2746" s="3" t="s">
        <v>0</v>
      </c>
      <c r="E2746" s="2" t="str">
        <f>"PR71000025D"</f>
        <v>PR71000025D</v>
      </c>
      <c r="F2746" s="5">
        <v>42583</v>
      </c>
      <c r="G2746" s="5">
        <v>54789</v>
      </c>
      <c r="H2746" s="4" t="str">
        <f>""</f>
        <v/>
      </c>
      <c r="I2746" s="4" t="str">
        <f>""</f>
        <v/>
      </c>
    </row>
    <row r="2747" spans="1:9" x14ac:dyDescent="0.3">
      <c r="A2747" s="1" t="str">
        <f>"71"</f>
        <v>71</v>
      </c>
      <c r="B2747" s="4" t="str">
        <f>"GUY DAUPHIN ENVIRONNEMENT"</f>
        <v>GUY DAUPHIN ENVIRONNEMENT</v>
      </c>
      <c r="C2747" s="4">
        <v>653820530</v>
      </c>
      <c r="D2747" s="3" t="s">
        <v>0</v>
      </c>
      <c r="E2747" s="2" t="str">
        <f>"PR7100001D"</f>
        <v>PR7100001D</v>
      </c>
      <c r="F2747" s="5">
        <v>43594</v>
      </c>
      <c r="G2747" s="5">
        <v>54789</v>
      </c>
      <c r="H2747" s="4" t="str">
        <f>""</f>
        <v/>
      </c>
      <c r="I2747" s="4" t="str">
        <f>""</f>
        <v/>
      </c>
    </row>
    <row r="2748" spans="1:9" x14ac:dyDescent="0.3">
      <c r="A2748" s="1" t="str">
        <f>"71"</f>
        <v>71</v>
      </c>
      <c r="B2748" s="4" t="str">
        <f>"EPUR CENTRE"</f>
        <v>EPUR CENTRE</v>
      </c>
      <c r="C2748" s="4">
        <v>687050369</v>
      </c>
      <c r="D2748" s="3" t="s">
        <v>0</v>
      </c>
      <c r="E2748" s="2" t="str">
        <f>"0024700046"</f>
        <v>0024700046</v>
      </c>
      <c r="F2748" s="5">
        <v>43103</v>
      </c>
      <c r="G2748" s="5">
        <v>54789</v>
      </c>
      <c r="H2748" s="4" t="str">
        <f>""</f>
        <v/>
      </c>
      <c r="I2748" s="4" t="str">
        <f>""</f>
        <v/>
      </c>
    </row>
    <row r="2749" spans="1:9" x14ac:dyDescent="0.3">
      <c r="A2749" s="1" t="str">
        <f>"71"</f>
        <v>71</v>
      </c>
      <c r="B2749" s="4" t="str">
        <f>"EPUR CENTRE"</f>
        <v>EPUR CENTRE</v>
      </c>
      <c r="C2749" s="4">
        <v>687050369</v>
      </c>
      <c r="D2749" s="3" t="s">
        <v>0</v>
      </c>
      <c r="E2749" s="2" t="str">
        <f>"PR7100007D"</f>
        <v>PR7100007D</v>
      </c>
      <c r="F2749" s="5">
        <v>43108</v>
      </c>
      <c r="G2749" s="5">
        <v>54789</v>
      </c>
      <c r="H2749" s="4" t="str">
        <f>""</f>
        <v/>
      </c>
      <c r="I2749" s="4" t="str">
        <f>""</f>
        <v/>
      </c>
    </row>
    <row r="2750" spans="1:9" x14ac:dyDescent="0.3">
      <c r="A2750" s="1" t="str">
        <f>"71"</f>
        <v>71</v>
      </c>
      <c r="B2750" s="4" t="str">
        <f>"EPUR CENTRE"</f>
        <v>EPUR CENTRE</v>
      </c>
      <c r="C2750" s="4">
        <v>687050369</v>
      </c>
      <c r="D2750" s="3" t="s">
        <v>0</v>
      </c>
      <c r="E2750" s="2" t="str">
        <f>"PR7100008D"</f>
        <v>PR7100008D</v>
      </c>
      <c r="F2750" s="5">
        <v>43103</v>
      </c>
      <c r="G2750" s="5">
        <v>54789</v>
      </c>
      <c r="H2750" s="4" t="str">
        <f>""</f>
        <v/>
      </c>
      <c r="I2750" s="4" t="str">
        <f>""</f>
        <v/>
      </c>
    </row>
    <row r="2751" spans="1:9" x14ac:dyDescent="0.3">
      <c r="A2751" s="1" t="str">
        <f>"71"</f>
        <v>71</v>
      </c>
      <c r="B2751" s="4" t="str">
        <f>"EPUR CENTRE"</f>
        <v>EPUR CENTRE</v>
      </c>
      <c r="C2751" s="4">
        <v>687050369</v>
      </c>
      <c r="D2751" s="3" t="s">
        <v>0</v>
      </c>
      <c r="E2751" s="2" t="str">
        <f>"0054001130"</f>
        <v>0054001130</v>
      </c>
      <c r="F2751" s="5">
        <v>43108</v>
      </c>
      <c r="G2751" s="5">
        <v>54789</v>
      </c>
      <c r="H2751" s="4" t="str">
        <f>""</f>
        <v/>
      </c>
      <c r="I2751" s="4" t="str">
        <f>""</f>
        <v/>
      </c>
    </row>
    <row r="2752" spans="1:9" x14ac:dyDescent="0.3">
      <c r="A2752" s="1" t="str">
        <f>"71"</f>
        <v>71</v>
      </c>
      <c r="B2752" s="4" t="str">
        <f>"ETABLISSEMENTS DESPLAT"</f>
        <v>ETABLISSEMENTS DESPLAT</v>
      </c>
      <c r="C2752" s="4">
        <v>725520639</v>
      </c>
      <c r="D2752" s="3" t="s">
        <v>0</v>
      </c>
      <c r="E2752" s="2" t="str">
        <f>"0054001247"</f>
        <v>0054001247</v>
      </c>
      <c r="F2752" s="5">
        <v>43035</v>
      </c>
      <c r="G2752" s="5">
        <v>54789</v>
      </c>
      <c r="H2752" s="4" t="str">
        <f>""</f>
        <v/>
      </c>
      <c r="I2752" s="4" t="str">
        <f>""</f>
        <v/>
      </c>
    </row>
    <row r="2753" spans="1:9" x14ac:dyDescent="0.3">
      <c r="A2753" s="1" t="str">
        <f>"71"</f>
        <v>71</v>
      </c>
      <c r="B2753" s="4" t="str">
        <f>"ETABLISSEMENTS DESPLAT"</f>
        <v>ETABLISSEMENTS DESPLAT</v>
      </c>
      <c r="C2753" s="4">
        <v>725520639</v>
      </c>
      <c r="D2753" s="3" t="s">
        <v>0</v>
      </c>
      <c r="E2753" s="2" t="str">
        <f>"PR7100009D"</f>
        <v>PR7100009D</v>
      </c>
      <c r="F2753" s="5">
        <v>43035</v>
      </c>
      <c r="G2753" s="5">
        <v>54789</v>
      </c>
      <c r="H2753" s="4" t="str">
        <f>""</f>
        <v/>
      </c>
      <c r="I2753" s="4" t="str">
        <f>""</f>
        <v/>
      </c>
    </row>
    <row r="2754" spans="1:9" x14ac:dyDescent="0.3">
      <c r="A2754" s="1" t="str">
        <f>"71"</f>
        <v>71</v>
      </c>
      <c r="B2754" s="4" t="str">
        <f>"CHAGNY AUTO CASSE"</f>
        <v>CHAGNY AUTO CASSE</v>
      </c>
      <c r="C2754" s="4">
        <v>789163326</v>
      </c>
      <c r="D2754" s="3" t="s">
        <v>0</v>
      </c>
      <c r="E2754" s="2" t="str">
        <f>"0024600007"</f>
        <v>0024600007</v>
      </c>
      <c r="F2754" s="5">
        <v>43749</v>
      </c>
      <c r="G2754" s="5">
        <v>54789</v>
      </c>
      <c r="H2754" s="4" t="str">
        <f>""</f>
        <v/>
      </c>
      <c r="I2754" s="4" t="str">
        <f>""</f>
        <v/>
      </c>
    </row>
    <row r="2755" spans="1:9" x14ac:dyDescent="0.3">
      <c r="A2755" s="1" t="str">
        <f>"71"</f>
        <v>71</v>
      </c>
      <c r="B2755" s="4" t="str">
        <f>"CHAGNY AUTO CASSE"</f>
        <v>CHAGNY AUTO CASSE</v>
      </c>
      <c r="C2755" s="4">
        <v>789163326</v>
      </c>
      <c r="D2755" s="3" t="s">
        <v>0</v>
      </c>
      <c r="E2755" s="2" t="str">
        <f>"PR7100019D"</f>
        <v>PR7100019D</v>
      </c>
      <c r="F2755" s="5">
        <v>41591</v>
      </c>
      <c r="G2755" s="5">
        <v>54789</v>
      </c>
      <c r="H2755" s="4" t="str">
        <f>""</f>
        <v/>
      </c>
      <c r="I2755" s="4" t="str">
        <f>""</f>
        <v/>
      </c>
    </row>
    <row r="2756" spans="1:9" x14ac:dyDescent="0.3">
      <c r="A2756" s="1" t="str">
        <f>"71"</f>
        <v>71</v>
      </c>
      <c r="B2756" s="4" t="str">
        <f>"SOCIETE RECUPERATION DE MACEDO"</f>
        <v>SOCIETE RECUPERATION DE MACEDO</v>
      </c>
      <c r="C2756" s="4">
        <v>812945152</v>
      </c>
      <c r="D2756" s="3" t="s">
        <v>0</v>
      </c>
      <c r="E2756" s="2" t="str">
        <f>"0025200058"</f>
        <v>0025200058</v>
      </c>
      <c r="F2756" s="5">
        <v>43669</v>
      </c>
      <c r="G2756" s="5">
        <v>54789</v>
      </c>
      <c r="H2756" s="4" t="str">
        <f>""</f>
        <v/>
      </c>
      <c r="I2756" s="4" t="str">
        <f>""</f>
        <v/>
      </c>
    </row>
    <row r="2757" spans="1:9" x14ac:dyDescent="0.3">
      <c r="A2757" s="1" t="str">
        <f>"71"</f>
        <v>71</v>
      </c>
      <c r="B2757" s="4" t="str">
        <f>"SOCIETE RECUPERATION DE MACEDO"</f>
        <v>SOCIETE RECUPERATION DE MACEDO</v>
      </c>
      <c r="C2757" s="4">
        <v>812945152</v>
      </c>
      <c r="D2757" s="3" t="s">
        <v>0</v>
      </c>
      <c r="E2757" s="2" t="str">
        <f>"PR71000023D"</f>
        <v>PR71000023D</v>
      </c>
      <c r="F2757" s="5">
        <v>43669</v>
      </c>
      <c r="G2757" s="5">
        <v>54789</v>
      </c>
      <c r="H2757" s="4" t="str">
        <f>""</f>
        <v/>
      </c>
      <c r="I2757" s="4" t="str">
        <f>""</f>
        <v/>
      </c>
    </row>
    <row r="2758" spans="1:9" x14ac:dyDescent="0.3">
      <c r="A2758" s="1" t="str">
        <f>"71"</f>
        <v>71</v>
      </c>
      <c r="B2758" s="4" t="str">
        <f>"AUTUN CASSE AUTO"</f>
        <v>AUTUN CASSE AUTO</v>
      </c>
      <c r="C2758" s="4">
        <v>832680698</v>
      </c>
      <c r="D2758" s="3" t="s">
        <v>0</v>
      </c>
      <c r="E2758" s="2" t="str">
        <f>"0100000988"</f>
        <v>0100000988</v>
      </c>
      <c r="F2758" s="5">
        <v>44684</v>
      </c>
      <c r="G2758" s="5">
        <v>54789</v>
      </c>
      <c r="H2758" s="4" t="str">
        <f>""</f>
        <v/>
      </c>
      <c r="I2758" s="4" t="str">
        <f>""</f>
        <v/>
      </c>
    </row>
    <row r="2759" spans="1:9" x14ac:dyDescent="0.3">
      <c r="A2759" s="1" t="str">
        <f>"71"</f>
        <v>71</v>
      </c>
      <c r="B2759" s="4" t="str">
        <f>"AUTUN CASSE AUTO"</f>
        <v>AUTUN CASSE AUTO</v>
      </c>
      <c r="C2759" s="4">
        <v>832680698</v>
      </c>
      <c r="D2759" s="3" t="s">
        <v>0</v>
      </c>
      <c r="E2759" s="2" t="str">
        <f>"PR7100030D"</f>
        <v>PR7100030D</v>
      </c>
      <c r="F2759" s="5">
        <v>44684</v>
      </c>
      <c r="G2759" s="5">
        <v>54789</v>
      </c>
      <c r="H2759" s="4" t="str">
        <f>""</f>
        <v/>
      </c>
      <c r="I2759" s="4" t="str">
        <f>""</f>
        <v/>
      </c>
    </row>
    <row r="2760" spans="1:9" x14ac:dyDescent="0.3">
      <c r="A2760" s="1" t="str">
        <f>"71"</f>
        <v>71</v>
      </c>
      <c r="B2760" s="4" t="str">
        <f>"AUTO PIECES MOTEURS 71"</f>
        <v>AUTO PIECES MOTEURS 71</v>
      </c>
      <c r="C2760" s="4">
        <v>898870092</v>
      </c>
      <c r="D2760" s="3" t="s">
        <v>0</v>
      </c>
      <c r="E2760" s="2" t="str">
        <f>"0024700082"</f>
        <v>0024700082</v>
      </c>
      <c r="F2760" s="5">
        <v>44736</v>
      </c>
      <c r="G2760" s="5">
        <v>54789</v>
      </c>
      <c r="H2760" s="4" t="str">
        <f>""</f>
        <v/>
      </c>
      <c r="I2760" s="4" t="str">
        <f>""</f>
        <v/>
      </c>
    </row>
    <row r="2761" spans="1:9" x14ac:dyDescent="0.3">
      <c r="A2761" s="1" t="str">
        <f>"71"</f>
        <v>71</v>
      </c>
      <c r="B2761" s="4" t="str">
        <f>"AUTO PIECES MOTEURS 71"</f>
        <v>AUTO PIECES MOTEURS 71</v>
      </c>
      <c r="C2761" s="4">
        <v>898870092</v>
      </c>
      <c r="D2761" s="3" t="s">
        <v>0</v>
      </c>
      <c r="E2761" s="2" t="str">
        <f>"PR7100031D"</f>
        <v>PR7100031D</v>
      </c>
      <c r="F2761" s="5">
        <v>44736</v>
      </c>
      <c r="G2761" s="5">
        <v>54789</v>
      </c>
      <c r="H2761" s="4" t="str">
        <f>""</f>
        <v/>
      </c>
      <c r="I2761" s="4" t="str">
        <f>""</f>
        <v/>
      </c>
    </row>
    <row r="2762" spans="1:9" x14ac:dyDescent="0.3">
      <c r="A2762" s="1" t="str">
        <f>"71"</f>
        <v>71</v>
      </c>
      <c r="B2762" s="4" t="str">
        <f>"SCHIED DAMIEN RECUPERATION"</f>
        <v>SCHIED DAMIEN RECUPERATION</v>
      </c>
      <c r="C2762" s="4">
        <v>904975893</v>
      </c>
      <c r="D2762" s="3" t="s">
        <v>0</v>
      </c>
      <c r="E2762" s="2" t="str">
        <f>"0100001334"</f>
        <v>0100001334</v>
      </c>
      <c r="F2762" s="5">
        <v>45314</v>
      </c>
      <c r="G2762" s="5">
        <v>54789</v>
      </c>
      <c r="H2762" s="4" t="str">
        <f>""</f>
        <v/>
      </c>
      <c r="I2762" s="4" t="str">
        <f>""</f>
        <v/>
      </c>
    </row>
    <row r="2763" spans="1:9" x14ac:dyDescent="0.3">
      <c r="A2763" s="1" t="str">
        <f>"71"</f>
        <v>71</v>
      </c>
      <c r="B2763" s="4" t="str">
        <f>"SCHIED DAMIEN RECUPERATION"</f>
        <v>SCHIED DAMIEN RECUPERATION</v>
      </c>
      <c r="C2763" s="4">
        <v>904975893</v>
      </c>
      <c r="D2763" s="3" t="s">
        <v>0</v>
      </c>
      <c r="E2763" s="2" t="str">
        <f>"PR7100032D"</f>
        <v>PR7100032D</v>
      </c>
      <c r="F2763" s="5">
        <v>45314</v>
      </c>
      <c r="G2763" s="5">
        <v>54789</v>
      </c>
      <c r="H2763" s="4" t="str">
        <f>""</f>
        <v/>
      </c>
      <c r="I2763" s="4" t="str">
        <f>""</f>
        <v/>
      </c>
    </row>
    <row r="2764" spans="1:9" x14ac:dyDescent="0.3">
      <c r="A2764" s="1" t="str">
        <f>"72"</f>
        <v>72</v>
      </c>
      <c r="B2764" s="4" t="str">
        <f>"SAS SOSAREC"</f>
        <v>SAS SOSAREC</v>
      </c>
      <c r="C2764" s="4">
        <v>319527918</v>
      </c>
      <c r="D2764" s="3" t="s">
        <v>0</v>
      </c>
      <c r="E2764" s="2" t="str">
        <f>"PR7200021D"</f>
        <v>PR7200021D</v>
      </c>
      <c r="F2764" s="5">
        <v>40435</v>
      </c>
      <c r="G2764" s="5">
        <v>54789</v>
      </c>
      <c r="H2764" s="4" t="str">
        <f>""</f>
        <v/>
      </c>
      <c r="I2764" s="4" t="str">
        <f>""</f>
        <v/>
      </c>
    </row>
    <row r="2765" spans="1:9" x14ac:dyDescent="0.3">
      <c r="A2765" s="1" t="str">
        <f>"72"</f>
        <v>72</v>
      </c>
      <c r="B2765" s="4" t="str">
        <f>"SAS SOSAREC"</f>
        <v>SAS SOSAREC</v>
      </c>
      <c r="C2765" s="4">
        <v>319527918</v>
      </c>
      <c r="D2765" s="3" t="s">
        <v>0</v>
      </c>
      <c r="E2765" s="2" t="str">
        <f>"0006302026"</f>
        <v>0006302026</v>
      </c>
      <c r="F2765" s="5">
        <v>40435</v>
      </c>
      <c r="G2765" s="5">
        <v>54789</v>
      </c>
      <c r="H2765" s="4" t="str">
        <f>""</f>
        <v/>
      </c>
      <c r="I2765" s="4" t="str">
        <f>""</f>
        <v/>
      </c>
    </row>
    <row r="2766" spans="1:9" x14ac:dyDescent="0.3">
      <c r="A2766" s="1" t="str">
        <f>"72"</f>
        <v>72</v>
      </c>
      <c r="B2766" s="4" t="str">
        <f>"SARL SOCAUTO"</f>
        <v>SARL SOCAUTO</v>
      </c>
      <c r="C2766" s="4">
        <v>351318555</v>
      </c>
      <c r="D2766" s="3" t="s">
        <v>0</v>
      </c>
      <c r="E2766" s="2" t="str">
        <f>"0006302010"</f>
        <v>0006302010</v>
      </c>
      <c r="F2766" s="5">
        <v>41264</v>
      </c>
      <c r="G2766" s="5">
        <v>54789</v>
      </c>
      <c r="H2766" s="4" t="str">
        <f>""</f>
        <v/>
      </c>
      <c r="I2766" s="4" t="str">
        <f>""</f>
        <v/>
      </c>
    </row>
    <row r="2767" spans="1:9" x14ac:dyDescent="0.3">
      <c r="A2767" s="1" t="str">
        <f>"72"</f>
        <v>72</v>
      </c>
      <c r="B2767" s="4" t="str">
        <f>"SARL SOCAUTO"</f>
        <v>SARL SOCAUTO</v>
      </c>
      <c r="C2767" s="4">
        <v>351318555</v>
      </c>
      <c r="D2767" s="3" t="s">
        <v>0</v>
      </c>
      <c r="E2767" s="2" t="str">
        <f>"PR7200008D"</f>
        <v>PR7200008D</v>
      </c>
      <c r="F2767" s="5">
        <v>41264</v>
      </c>
      <c r="G2767" s="5">
        <v>54789</v>
      </c>
      <c r="H2767" s="4" t="str">
        <f>""</f>
        <v/>
      </c>
      <c r="I2767" s="4" t="str">
        <f>""</f>
        <v/>
      </c>
    </row>
    <row r="2768" spans="1:9" x14ac:dyDescent="0.3">
      <c r="A2768" s="1" t="str">
        <f>"72"</f>
        <v>72</v>
      </c>
      <c r="B2768" s="4" t="str">
        <f>"SARL ORNAUTO"</f>
        <v>SARL ORNAUTO</v>
      </c>
      <c r="C2768" s="4">
        <v>353817554</v>
      </c>
      <c r="D2768" s="3" t="s">
        <v>0</v>
      </c>
      <c r="E2768" s="2" t="str">
        <f>"0006301988"</f>
        <v>0006301988</v>
      </c>
      <c r="F2768" s="5">
        <v>38856</v>
      </c>
      <c r="G2768" s="5">
        <v>54789</v>
      </c>
      <c r="H2768" s="4" t="str">
        <f>""</f>
        <v/>
      </c>
      <c r="I2768" s="4" t="str">
        <f>""</f>
        <v/>
      </c>
    </row>
    <row r="2769" spans="1:9" x14ac:dyDescent="0.3">
      <c r="A2769" s="1" t="str">
        <f>"72"</f>
        <v>72</v>
      </c>
      <c r="B2769" s="4" t="str">
        <f>"SARL ORNAUTO"</f>
        <v>SARL ORNAUTO</v>
      </c>
      <c r="C2769" s="4">
        <v>353817554</v>
      </c>
      <c r="D2769" s="3" t="s">
        <v>0</v>
      </c>
      <c r="E2769" s="2" t="str">
        <f>"PR7200002D"</f>
        <v>PR7200002D</v>
      </c>
      <c r="F2769" s="5">
        <v>38856</v>
      </c>
      <c r="G2769" s="5">
        <v>54789</v>
      </c>
      <c r="H2769" s="4" t="str">
        <f>""</f>
        <v/>
      </c>
      <c r="I2769" s="4" t="str">
        <f>""</f>
        <v/>
      </c>
    </row>
    <row r="2770" spans="1:9" x14ac:dyDescent="0.3">
      <c r="A2770" s="1" t="str">
        <f>"72"</f>
        <v>72</v>
      </c>
      <c r="B2770" s="4" t="str">
        <f>"SA SOSAREC"</f>
        <v>SA SOSAREC</v>
      </c>
      <c r="C2770" s="4">
        <v>391527918</v>
      </c>
      <c r="D2770" s="3" t="s">
        <v>0</v>
      </c>
      <c r="E2770" s="2" t="str">
        <f>"0006302025"</f>
        <v>0006302025</v>
      </c>
      <c r="F2770" s="5">
        <v>41212</v>
      </c>
      <c r="G2770" s="5">
        <v>54789</v>
      </c>
      <c r="H2770" s="4" t="str">
        <f>""</f>
        <v/>
      </c>
      <c r="I2770" s="4" t="str">
        <f>""</f>
        <v/>
      </c>
    </row>
    <row r="2771" spans="1:9" x14ac:dyDescent="0.3">
      <c r="A2771" s="1" t="str">
        <f>"72"</f>
        <v>72</v>
      </c>
      <c r="B2771" s="4" t="str">
        <f>"SA SOSAREC"</f>
        <v>SA SOSAREC</v>
      </c>
      <c r="C2771" s="4">
        <v>391527918</v>
      </c>
      <c r="D2771" s="3" t="s">
        <v>0</v>
      </c>
      <c r="E2771" s="2" t="str">
        <f>"PR7200012D"</f>
        <v>PR7200012D</v>
      </c>
      <c r="F2771" s="5">
        <v>41212</v>
      </c>
      <c r="G2771" s="5">
        <v>54789</v>
      </c>
      <c r="H2771" s="4" t="str">
        <f>""</f>
        <v/>
      </c>
      <c r="I2771" s="4" t="str">
        <f>""</f>
        <v/>
      </c>
    </row>
    <row r="2772" spans="1:9" x14ac:dyDescent="0.3">
      <c r="A2772" s="1" t="str">
        <f>"72"</f>
        <v>72</v>
      </c>
      <c r="B2772" s="4" t="str">
        <f>"RIVARD PHILIPPE"</f>
        <v>RIVARD PHILIPPE</v>
      </c>
      <c r="C2772" s="4">
        <v>398719047</v>
      </c>
      <c r="D2772" s="3" t="s">
        <v>0</v>
      </c>
      <c r="E2772" s="2" t="str">
        <f>"0006301966"</f>
        <v>0006301966</v>
      </c>
      <c r="F2772" s="5">
        <v>39266</v>
      </c>
      <c r="G2772" s="5">
        <v>54789</v>
      </c>
      <c r="H2772" s="4" t="str">
        <f>""</f>
        <v/>
      </c>
      <c r="I2772" s="4" t="str">
        <f>""</f>
        <v/>
      </c>
    </row>
    <row r="2773" spans="1:9" x14ac:dyDescent="0.3">
      <c r="A2773" s="1" t="str">
        <f>"72"</f>
        <v>72</v>
      </c>
      <c r="B2773" s="4" t="str">
        <f>"RIVARD PHILIPPE"</f>
        <v>RIVARD PHILIPPE</v>
      </c>
      <c r="C2773" s="4">
        <v>398719047</v>
      </c>
      <c r="D2773" s="3" t="s">
        <v>0</v>
      </c>
      <c r="E2773" s="2" t="str">
        <f>"PR7200019D"</f>
        <v>PR7200019D</v>
      </c>
      <c r="F2773" s="5">
        <v>39266</v>
      </c>
      <c r="G2773" s="5">
        <v>54789</v>
      </c>
      <c r="H2773" s="4" t="str">
        <f>""</f>
        <v/>
      </c>
      <c r="I2773" s="4" t="str">
        <f>""</f>
        <v/>
      </c>
    </row>
    <row r="2774" spans="1:9" x14ac:dyDescent="0.3">
      <c r="A2774" s="1" t="str">
        <f>"72"</f>
        <v>72</v>
      </c>
      <c r="B2774" s="4" t="str">
        <f>"SARL AUTO RECUPER"</f>
        <v>SARL AUTO RECUPER</v>
      </c>
      <c r="C2774" s="4">
        <v>404726432</v>
      </c>
      <c r="D2774" s="3" t="s">
        <v>0</v>
      </c>
      <c r="E2774" s="2" t="str">
        <f>"PR7200010D"</f>
        <v>PR7200010D</v>
      </c>
      <c r="F2774" s="5">
        <v>41310</v>
      </c>
      <c r="G2774" s="5">
        <v>54789</v>
      </c>
      <c r="H2774" s="4" t="str">
        <f>""</f>
        <v/>
      </c>
      <c r="I2774" s="4" t="str">
        <f>""</f>
        <v/>
      </c>
    </row>
    <row r="2775" spans="1:9" x14ac:dyDescent="0.3">
      <c r="A2775" s="1" t="str">
        <f>"72"</f>
        <v>72</v>
      </c>
      <c r="B2775" s="4" t="str">
        <f>"PASSENAUD RECYCLAGE"</f>
        <v>PASSENAUD RECYCLAGE</v>
      </c>
      <c r="C2775" s="4">
        <v>412242315</v>
      </c>
      <c r="D2775" s="3" t="s">
        <v>0</v>
      </c>
      <c r="E2775" s="2" t="str">
        <f>"PR7200005B"</f>
        <v>PR7200005B</v>
      </c>
      <c r="F2775" s="5">
        <v>41212</v>
      </c>
      <c r="G2775" s="5">
        <v>54789</v>
      </c>
      <c r="H2775" s="4" t="str">
        <f>""</f>
        <v/>
      </c>
      <c r="I2775" s="4" t="str">
        <f>""</f>
        <v/>
      </c>
    </row>
    <row r="2776" spans="1:9" x14ac:dyDescent="0.3">
      <c r="A2776" s="1" t="str">
        <f>"72"</f>
        <v>72</v>
      </c>
      <c r="B2776" s="4" t="str">
        <f>"PASSENAUD RECYCLAGE"</f>
        <v>PASSENAUD RECYCLAGE</v>
      </c>
      <c r="C2776" s="4">
        <v>412242315</v>
      </c>
      <c r="D2776" s="3" t="s">
        <v>0</v>
      </c>
      <c r="E2776" s="2" t="str">
        <f>"0006301917"</f>
        <v>0006301917</v>
      </c>
      <c r="F2776" s="5">
        <v>41212</v>
      </c>
      <c r="G2776" s="5">
        <v>54789</v>
      </c>
      <c r="H2776" s="4" t="str">
        <f>""</f>
        <v/>
      </c>
      <c r="I2776" s="4" t="str">
        <f>""</f>
        <v/>
      </c>
    </row>
    <row r="2777" spans="1:9" x14ac:dyDescent="0.3">
      <c r="A2777" s="1" t="str">
        <f>"72"</f>
        <v>72</v>
      </c>
      <c r="B2777" s="4" t="str">
        <f>"SARL TILT AUTO"</f>
        <v>SARL TILT AUTO</v>
      </c>
      <c r="C2777" s="4">
        <v>442955027</v>
      </c>
      <c r="D2777" s="3" t="s">
        <v>0</v>
      </c>
      <c r="E2777" s="2" t="str">
        <f>"0006302063"</f>
        <v>0006302063</v>
      </c>
      <c r="F2777" s="5">
        <v>41212</v>
      </c>
      <c r="G2777" s="5">
        <v>54789</v>
      </c>
      <c r="H2777" s="4" t="str">
        <f>""</f>
        <v/>
      </c>
      <c r="I2777" s="4" t="str">
        <f>""</f>
        <v/>
      </c>
    </row>
    <row r="2778" spans="1:9" x14ac:dyDescent="0.3">
      <c r="A2778" s="1" t="str">
        <f>"72"</f>
        <v>72</v>
      </c>
      <c r="B2778" s="4" t="str">
        <f>"SARL TILT AUTO"</f>
        <v>SARL TILT AUTO</v>
      </c>
      <c r="C2778" s="4">
        <v>442955027</v>
      </c>
      <c r="D2778" s="3" t="s">
        <v>0</v>
      </c>
      <c r="E2778" s="2" t="str">
        <f>"PR7200009D"</f>
        <v>PR7200009D</v>
      </c>
      <c r="F2778" s="5">
        <v>41212</v>
      </c>
      <c r="G2778" s="5">
        <v>54789</v>
      </c>
      <c r="H2778" s="4" t="str">
        <f>""</f>
        <v/>
      </c>
      <c r="I2778" s="4" t="str">
        <f>""</f>
        <v/>
      </c>
    </row>
    <row r="2779" spans="1:9" x14ac:dyDescent="0.3">
      <c r="A2779" s="1" t="str">
        <f>"72"</f>
        <v>72</v>
      </c>
      <c r="B2779" s="4" t="str">
        <f>"EURL CASSE AUTO MANCELLE"</f>
        <v>EURL CASSE AUTO MANCELLE</v>
      </c>
      <c r="C2779" s="4">
        <v>479705907</v>
      </c>
      <c r="D2779" s="3" t="s">
        <v>0</v>
      </c>
      <c r="E2779" s="2" t="str">
        <f>"0006302061"</f>
        <v>0006302061</v>
      </c>
      <c r="F2779" s="5">
        <v>41310</v>
      </c>
      <c r="G2779" s="5">
        <v>54789</v>
      </c>
      <c r="H2779" s="4" t="str">
        <f>""</f>
        <v/>
      </c>
      <c r="I2779" s="4" t="str">
        <f>""</f>
        <v/>
      </c>
    </row>
    <row r="2780" spans="1:9" x14ac:dyDescent="0.3">
      <c r="A2780" s="1" t="str">
        <f>"72"</f>
        <v>72</v>
      </c>
      <c r="B2780" s="4" t="str">
        <f>"EURL CASSE AUTO MANCELLE"</f>
        <v>EURL CASSE AUTO MANCELLE</v>
      </c>
      <c r="C2780" s="4">
        <v>479705907</v>
      </c>
      <c r="D2780" s="3" t="s">
        <v>0</v>
      </c>
      <c r="E2780" s="2" t="str">
        <f>"PR7200014D"</f>
        <v>PR7200014D</v>
      </c>
      <c r="F2780" s="5">
        <v>41310</v>
      </c>
      <c r="G2780" s="5">
        <v>54789</v>
      </c>
      <c r="H2780" s="4" t="str">
        <f>""</f>
        <v/>
      </c>
      <c r="I2780" s="4" t="str">
        <f>""</f>
        <v/>
      </c>
    </row>
    <row r="2781" spans="1:9" x14ac:dyDescent="0.3">
      <c r="A2781" s="1" t="str">
        <f>"72"</f>
        <v>72</v>
      </c>
      <c r="B2781" s="4" t="str">
        <f>"SARL SOREMAINE VL JPL"</f>
        <v>SARL SOREMAINE VL JPL</v>
      </c>
      <c r="C2781" s="4">
        <v>480049246</v>
      </c>
      <c r="D2781" s="3" t="s">
        <v>0</v>
      </c>
      <c r="E2781" s="2" t="str">
        <f>"0006304011"</f>
        <v>0006304011</v>
      </c>
      <c r="F2781" s="5">
        <v>38996</v>
      </c>
      <c r="G2781" s="5">
        <v>54789</v>
      </c>
      <c r="H2781" s="4" t="str">
        <f>""</f>
        <v/>
      </c>
      <c r="I2781" s="4" t="str">
        <f>""</f>
        <v/>
      </c>
    </row>
    <row r="2782" spans="1:9" x14ac:dyDescent="0.3">
      <c r="A2782" s="1" t="str">
        <f>"72"</f>
        <v>72</v>
      </c>
      <c r="B2782" s="4" t="str">
        <f>"SARL SOREMAINE VL JPL"</f>
        <v>SARL SOREMAINE VL JPL</v>
      </c>
      <c r="C2782" s="4">
        <v>480049246</v>
      </c>
      <c r="D2782" s="3" t="s">
        <v>0</v>
      </c>
      <c r="E2782" s="2" t="str">
        <f>"PR7200013D"</f>
        <v>PR7200013D</v>
      </c>
      <c r="F2782" s="5">
        <v>38996</v>
      </c>
      <c r="G2782" s="5">
        <v>54789</v>
      </c>
      <c r="H2782" s="4" t="str">
        <f>""</f>
        <v/>
      </c>
      <c r="I2782" s="4" t="str">
        <f>""</f>
        <v/>
      </c>
    </row>
    <row r="2783" spans="1:9" x14ac:dyDescent="0.3">
      <c r="A2783" s="1" t="str">
        <f>"72"</f>
        <v>72</v>
      </c>
      <c r="B2783" s="4" t="str">
        <f>"SARL CASSE 2000"</f>
        <v>SARL CASSE 2000</v>
      </c>
      <c r="C2783" s="4">
        <v>491248951</v>
      </c>
      <c r="D2783" s="3" t="s">
        <v>0</v>
      </c>
      <c r="E2783" s="2" t="str">
        <f>"0006302060"</f>
        <v>0006302060</v>
      </c>
      <c r="F2783" s="5">
        <v>39223</v>
      </c>
      <c r="G2783" s="5">
        <v>54789</v>
      </c>
      <c r="H2783" s="4" t="str">
        <f>""</f>
        <v/>
      </c>
      <c r="I2783" s="4" t="str">
        <f>""</f>
        <v/>
      </c>
    </row>
    <row r="2784" spans="1:9" x14ac:dyDescent="0.3">
      <c r="A2784" s="1" t="str">
        <f>"72"</f>
        <v>72</v>
      </c>
      <c r="B2784" s="4" t="str">
        <f>"SARL CASSE 2000"</f>
        <v>SARL CASSE 2000</v>
      </c>
      <c r="C2784" s="4">
        <v>491248951</v>
      </c>
      <c r="D2784" s="3" t="s">
        <v>0</v>
      </c>
      <c r="E2784" s="2" t="str">
        <f>"PR7200018D"</f>
        <v>PR7200018D</v>
      </c>
      <c r="F2784" s="5">
        <v>39223</v>
      </c>
      <c r="G2784" s="5">
        <v>54789</v>
      </c>
      <c r="H2784" s="4" t="str">
        <f>""</f>
        <v/>
      </c>
      <c r="I2784" s="4" t="str">
        <f>""</f>
        <v/>
      </c>
    </row>
    <row r="2785" spans="1:9" x14ac:dyDescent="0.3">
      <c r="A2785" s="1" t="str">
        <f>"72"</f>
        <v>72</v>
      </c>
      <c r="B2785" s="4" t="str">
        <f>"SARL SBR"</f>
        <v>SARL SBR</v>
      </c>
      <c r="C2785" s="4">
        <v>537992588</v>
      </c>
      <c r="D2785" s="3" t="s">
        <v>0</v>
      </c>
      <c r="E2785" s="2" t="str">
        <f>"PR7200024D"</f>
        <v>PR7200024D</v>
      </c>
      <c r="F2785" s="5">
        <v>43762</v>
      </c>
      <c r="G2785" s="5">
        <v>54789</v>
      </c>
      <c r="H2785" s="4" t="str">
        <f>""</f>
        <v/>
      </c>
      <c r="I2785" s="4" t="str">
        <f>""</f>
        <v/>
      </c>
    </row>
    <row r="2786" spans="1:9" x14ac:dyDescent="0.3">
      <c r="A2786" s="1" t="str">
        <f>"72"</f>
        <v>72</v>
      </c>
      <c r="B2786" s="4" t="str">
        <f>"GUY DAUPHIN ENVIRONNEMENT"</f>
        <v>GUY DAUPHIN ENVIRONNEMENT</v>
      </c>
      <c r="C2786" s="4">
        <v>653820530</v>
      </c>
      <c r="D2786" s="3" t="s">
        <v>0</v>
      </c>
      <c r="E2786" s="2" t="str">
        <f>"PR7200004D"</f>
        <v>PR7200004D</v>
      </c>
      <c r="F2786" s="5">
        <v>41232</v>
      </c>
      <c r="G2786" s="5">
        <v>54789</v>
      </c>
      <c r="H2786" s="4" t="str">
        <f>""</f>
        <v/>
      </c>
      <c r="I2786" s="4" t="str">
        <f>""</f>
        <v/>
      </c>
    </row>
    <row r="2787" spans="1:9" x14ac:dyDescent="0.3">
      <c r="A2787" s="1" t="str">
        <f>"72"</f>
        <v>72</v>
      </c>
      <c r="B2787" s="4" t="str">
        <f>"SARL LA FLECHE AUTOS PIECES"</f>
        <v>SARL LA FLECHE AUTOS PIECES</v>
      </c>
      <c r="C2787" s="4">
        <v>803068337</v>
      </c>
      <c r="D2787" s="3" t="s">
        <v>0</v>
      </c>
      <c r="E2787" s="2" t="str">
        <f>"PR7200023D"</f>
        <v>PR7200023D</v>
      </c>
      <c r="F2787" s="5">
        <v>42608</v>
      </c>
      <c r="G2787" s="5">
        <v>54789</v>
      </c>
      <c r="H2787" s="4" t="str">
        <f>""</f>
        <v/>
      </c>
      <c r="I2787" s="4" t="str">
        <f>""</f>
        <v/>
      </c>
    </row>
    <row r="2788" spans="1:9" x14ac:dyDescent="0.3">
      <c r="A2788" s="1" t="str">
        <f>"73"</f>
        <v>73</v>
      </c>
      <c r="B2788" s="4" t="str">
        <f>"ETSLaurot"</f>
        <v>ETSLaurot</v>
      </c>
      <c r="C2788" s="4">
        <v>324536341</v>
      </c>
      <c r="D2788" s="3" t="s">
        <v>0</v>
      </c>
      <c r="E2788" s="2" t="str">
        <f>"0006104464"</f>
        <v>0006104464</v>
      </c>
      <c r="F2788" s="5">
        <v>41076</v>
      </c>
      <c r="G2788" s="5">
        <v>54789</v>
      </c>
      <c r="H2788" s="4" t="str">
        <f>""</f>
        <v/>
      </c>
      <c r="I2788" s="4" t="str">
        <f>""</f>
        <v/>
      </c>
    </row>
    <row r="2789" spans="1:9" x14ac:dyDescent="0.3">
      <c r="A2789" s="1" t="str">
        <f>"73"</f>
        <v>73</v>
      </c>
      <c r="B2789" s="4" t="str">
        <f>"lacar'casse"</f>
        <v>lacar'casse</v>
      </c>
      <c r="C2789" s="4">
        <v>327702551</v>
      </c>
      <c r="D2789" s="3" t="s">
        <v>0</v>
      </c>
      <c r="E2789" s="2" t="str">
        <f>"0010700292"</f>
        <v>0010700292</v>
      </c>
      <c r="F2789" s="5">
        <v>41235</v>
      </c>
      <c r="G2789" s="5">
        <v>54789</v>
      </c>
      <c r="H2789" s="4" t="str">
        <f>""</f>
        <v/>
      </c>
      <c r="I2789" s="4" t="str">
        <f>""</f>
        <v/>
      </c>
    </row>
    <row r="2790" spans="1:9" x14ac:dyDescent="0.3">
      <c r="A2790" s="1" t="str">
        <f>"73"</f>
        <v>73</v>
      </c>
      <c r="B2790" s="4" t="str">
        <f>"ETSKaliakoudas"</f>
        <v>ETSKaliakoudas</v>
      </c>
      <c r="C2790" s="4">
        <v>332065937</v>
      </c>
      <c r="D2790" s="3" t="s">
        <v>0</v>
      </c>
      <c r="E2790" s="2" t="str">
        <f>"0006104342"</f>
        <v>0006104342</v>
      </c>
      <c r="F2790" s="5">
        <v>41090</v>
      </c>
      <c r="G2790" s="5">
        <v>54789</v>
      </c>
      <c r="H2790" s="4" t="str">
        <f>""</f>
        <v/>
      </c>
      <c r="I2790" s="4" t="str">
        <f>""</f>
        <v/>
      </c>
    </row>
    <row r="2791" spans="1:9" x14ac:dyDescent="0.3">
      <c r="A2791" s="1" t="str">
        <f>"73"</f>
        <v>73</v>
      </c>
      <c r="B2791" s="4" t="str">
        <f>"Purfer"</f>
        <v>Purfer</v>
      </c>
      <c r="C2791" s="4">
        <v>332628171</v>
      </c>
      <c r="D2791" s="3" t="s">
        <v>0</v>
      </c>
      <c r="E2791" s="2" t="str">
        <f>"0006104353"</f>
        <v>0006104353</v>
      </c>
      <c r="F2791" s="5">
        <v>41194</v>
      </c>
      <c r="G2791" s="5">
        <v>54789</v>
      </c>
      <c r="H2791" s="4" t="str">
        <f>""</f>
        <v/>
      </c>
      <c r="I2791" s="4" t="str">
        <f>""</f>
        <v/>
      </c>
    </row>
    <row r="2792" spans="1:9" x14ac:dyDescent="0.3">
      <c r="A2792" s="1" t="str">
        <f>"73"</f>
        <v>73</v>
      </c>
      <c r="B2792" s="4" t="str">
        <f>"AxeAuto"</f>
        <v>AxeAuto</v>
      </c>
      <c r="C2792" s="4">
        <v>342257953</v>
      </c>
      <c r="D2792" s="3" t="s">
        <v>0</v>
      </c>
      <c r="E2792" s="2" t="str">
        <f>"0010700003"</f>
        <v>0010700003</v>
      </c>
      <c r="F2792" s="5">
        <v>43225</v>
      </c>
      <c r="G2792" s="5">
        <v>54789</v>
      </c>
      <c r="H2792" s="4" t="str">
        <f>""</f>
        <v/>
      </c>
      <c r="I2792" s="4" t="str">
        <f>""</f>
        <v/>
      </c>
    </row>
    <row r="2793" spans="1:9" x14ac:dyDescent="0.3">
      <c r="A2793" s="1" t="str">
        <f>"73"</f>
        <v>73</v>
      </c>
      <c r="B2793" s="4" t="str">
        <f>"SAVOIECASSE"</f>
        <v>SAVOIECASSE</v>
      </c>
      <c r="C2793" s="4">
        <v>344835269</v>
      </c>
      <c r="D2793" s="3" t="s">
        <v>0</v>
      </c>
      <c r="E2793" s="2" t="str">
        <f>"0010700200"</f>
        <v>0010700200</v>
      </c>
      <c r="F2793" s="5">
        <v>38859</v>
      </c>
      <c r="G2793" s="5">
        <v>54789</v>
      </c>
      <c r="H2793" s="4" t="str">
        <f>""</f>
        <v/>
      </c>
      <c r="I2793" s="4" t="str">
        <f>""</f>
        <v/>
      </c>
    </row>
    <row r="2794" spans="1:9" x14ac:dyDescent="0.3">
      <c r="A2794" s="1" t="str">
        <f>"73"</f>
        <v>73</v>
      </c>
      <c r="B2794" s="4" t="str">
        <f>"SASAXIA"</f>
        <v>SASAXIA</v>
      </c>
      <c r="C2794" s="4">
        <v>398229260</v>
      </c>
      <c r="D2794" s="3" t="s">
        <v>0</v>
      </c>
      <c r="E2794" s="2" t="str">
        <f>"0006104343"</f>
        <v>0006104343</v>
      </c>
      <c r="F2794" s="5">
        <v>42278</v>
      </c>
      <c r="G2794" s="5">
        <v>54789</v>
      </c>
      <c r="H2794" s="4" t="str">
        <f>""</f>
        <v/>
      </c>
      <c r="I2794" s="4" t="str">
        <f>""</f>
        <v/>
      </c>
    </row>
    <row r="2795" spans="1:9" x14ac:dyDescent="0.3">
      <c r="A2795" s="1" t="str">
        <f>"73"</f>
        <v>73</v>
      </c>
      <c r="B2795" s="4" t="str">
        <f>"SASAXIA"</f>
        <v>SASAXIA</v>
      </c>
      <c r="C2795" s="4">
        <v>398229260</v>
      </c>
      <c r="D2795" s="3" t="s">
        <v>0</v>
      </c>
      <c r="E2795" s="2" t="str">
        <f>"0006104343"</f>
        <v>0006104343</v>
      </c>
      <c r="F2795" s="5">
        <v>43906</v>
      </c>
      <c r="G2795" s="5">
        <v>54789</v>
      </c>
      <c r="H2795" s="4" t="str">
        <f>""</f>
        <v/>
      </c>
      <c r="I2795" s="4" t="str">
        <f>""</f>
        <v/>
      </c>
    </row>
    <row r="2796" spans="1:9" x14ac:dyDescent="0.3">
      <c r="A2796" s="1" t="str">
        <f>"73"</f>
        <v>73</v>
      </c>
      <c r="B2796" s="4" t="str">
        <f>"SARLBellesautodepannage"</f>
        <v>SARLBellesautodepannage</v>
      </c>
      <c r="C2796" s="4">
        <v>435046230</v>
      </c>
      <c r="D2796" s="3" t="s">
        <v>0</v>
      </c>
      <c r="E2796" s="2" t="str">
        <f>"0010700189"</f>
        <v>0010700189</v>
      </c>
      <c r="F2796" s="5">
        <v>43222</v>
      </c>
      <c r="G2796" s="5">
        <v>54789</v>
      </c>
      <c r="H2796" s="4" t="str">
        <f>""</f>
        <v/>
      </c>
      <c r="I2796" s="4" t="str">
        <f>""</f>
        <v/>
      </c>
    </row>
    <row r="2797" spans="1:9" x14ac:dyDescent="0.3">
      <c r="A2797" s="1" t="str">
        <f>"73"</f>
        <v>73</v>
      </c>
      <c r="B2797" s="4" t="str">
        <f>"SARLALPESRECUPERATIONS"</f>
        <v>SARLALPESRECUPERATIONS</v>
      </c>
      <c r="C2797" s="4">
        <v>491904298</v>
      </c>
      <c r="D2797" s="3" t="s">
        <v>0</v>
      </c>
      <c r="E2797" s="2" t="str">
        <f>"0010700198"</f>
        <v>0010700198</v>
      </c>
      <c r="F2797" s="5">
        <v>43225</v>
      </c>
      <c r="G2797" s="5">
        <v>54789</v>
      </c>
      <c r="H2797" s="4" t="str">
        <f>""</f>
        <v/>
      </c>
      <c r="I2797" s="4" t="str">
        <f>""</f>
        <v/>
      </c>
    </row>
    <row r="2798" spans="1:9" x14ac:dyDescent="0.3">
      <c r="A2798" s="1" t="str">
        <f>"73"</f>
        <v>73</v>
      </c>
      <c r="B2798" s="4" t="str">
        <f>"GPA73"</f>
        <v>GPA73</v>
      </c>
      <c r="C2798" s="4">
        <v>492754676</v>
      </c>
      <c r="D2798" s="3" t="s">
        <v>0</v>
      </c>
      <c r="E2798" s="2" t="str">
        <f>"0006104387"</f>
        <v>0006104387</v>
      </c>
      <c r="F2798" s="5">
        <v>43137</v>
      </c>
      <c r="G2798" s="5">
        <v>54789</v>
      </c>
      <c r="H2798" s="4" t="str">
        <f>""</f>
        <v/>
      </c>
      <c r="I2798" s="4" t="str">
        <f>""</f>
        <v/>
      </c>
    </row>
    <row r="2799" spans="1:9" x14ac:dyDescent="0.3">
      <c r="A2799" s="1" t="str">
        <f>"73"</f>
        <v>73</v>
      </c>
      <c r="B2799" s="4" t="str">
        <f>"auto-casse"</f>
        <v>auto-casse</v>
      </c>
      <c r="C2799" s="4">
        <v>508873239</v>
      </c>
      <c r="D2799" s="3" t="s">
        <v>0</v>
      </c>
      <c r="E2799" s="2" t="str">
        <f>"0010700529"</f>
        <v>0010700529</v>
      </c>
      <c r="F2799" s="5">
        <v>43480</v>
      </c>
      <c r="G2799" s="5">
        <v>54789</v>
      </c>
      <c r="H2799" s="4" t="str">
        <f>""</f>
        <v/>
      </c>
      <c r="I2799" s="4" t="str">
        <f>""</f>
        <v/>
      </c>
    </row>
    <row r="2800" spans="1:9" x14ac:dyDescent="0.3">
      <c r="A2800" s="1" t="str">
        <f>"73"</f>
        <v>73</v>
      </c>
      <c r="B2800" s="4" t="str">
        <f>"Centrerecyclageauto"</f>
        <v>Centrerecyclageauto</v>
      </c>
      <c r="C2800" s="4">
        <v>511349821</v>
      </c>
      <c r="D2800" s="3" t="s">
        <v>0</v>
      </c>
      <c r="E2800" s="2" t="str">
        <f>"0010700008"</f>
        <v>0010700008</v>
      </c>
      <c r="F2800" s="5">
        <v>42419</v>
      </c>
      <c r="G2800" s="5">
        <v>54789</v>
      </c>
      <c r="H2800" s="4" t="str">
        <f>""</f>
        <v/>
      </c>
      <c r="I2800" s="4" t="str">
        <f>""</f>
        <v/>
      </c>
    </row>
    <row r="2801" spans="1:9" x14ac:dyDescent="0.3">
      <c r="A2801" s="1" t="str">
        <f>"73"</f>
        <v>73</v>
      </c>
      <c r="B2801" s="4" t="str">
        <f>"Centrerecyclageauto"</f>
        <v>Centrerecyclageauto</v>
      </c>
      <c r="C2801" s="4">
        <v>511349821</v>
      </c>
      <c r="D2801" s="3" t="s">
        <v>0</v>
      </c>
      <c r="E2801" s="2" t="str">
        <f>"0010700190"</f>
        <v>0010700190</v>
      </c>
      <c r="F2801" s="5">
        <v>42419</v>
      </c>
      <c r="G2801" s="5">
        <v>54789</v>
      </c>
      <c r="H2801" s="4" t="str">
        <f>""</f>
        <v/>
      </c>
      <c r="I2801" s="4" t="str">
        <f>""</f>
        <v/>
      </c>
    </row>
    <row r="2802" spans="1:9" x14ac:dyDescent="0.3">
      <c r="A2802" s="1" t="str">
        <f>"73"</f>
        <v>73</v>
      </c>
      <c r="B2802" s="4" t="str">
        <f>"autobcservices"</f>
        <v>autobcservices</v>
      </c>
      <c r="C2802" s="4">
        <v>517683728</v>
      </c>
      <c r="D2802" s="3" t="s">
        <v>0</v>
      </c>
      <c r="E2802" s="2" t="str">
        <f>"0010700192"</f>
        <v>0010700192</v>
      </c>
      <c r="F2802" s="5">
        <v>42808</v>
      </c>
      <c r="G2802" s="5">
        <v>54789</v>
      </c>
      <c r="H2802" s="4" t="str">
        <f>""</f>
        <v/>
      </c>
      <c r="I2802" s="4" t="str">
        <f>""</f>
        <v/>
      </c>
    </row>
    <row r="2803" spans="1:9" x14ac:dyDescent="0.3">
      <c r="A2803" s="1" t="str">
        <f>"73"</f>
        <v>73</v>
      </c>
      <c r="B2803" s="4" t="str">
        <f>"HightTechnicalSolutions(HTS)"</f>
        <v>HightTechnicalSolutions(HTS)</v>
      </c>
      <c r="C2803" s="4">
        <v>828373043</v>
      </c>
      <c r="D2803" s="3" t="s">
        <v>0</v>
      </c>
      <c r="E2803" s="2" t="str">
        <f>"0003202343"</f>
        <v>0003202343</v>
      </c>
      <c r="F2803" s="5">
        <v>43325</v>
      </c>
      <c r="G2803" s="5">
        <v>54789</v>
      </c>
      <c r="H2803" s="4" t="str">
        <f>""</f>
        <v/>
      </c>
      <c r="I2803" s="4" t="str">
        <f>""</f>
        <v/>
      </c>
    </row>
    <row r="2804" spans="1:9" x14ac:dyDescent="0.3">
      <c r="A2804" s="1" t="str">
        <f>"73"</f>
        <v>73</v>
      </c>
      <c r="B2804" s="4" t="str">
        <f>"ULTIM'Auto"</f>
        <v>ULTIM'Auto</v>
      </c>
      <c r="C2804" s="4">
        <v>828825786</v>
      </c>
      <c r="D2804" s="3" t="s">
        <v>0</v>
      </c>
      <c r="E2804" s="2" t="str">
        <f>"0010700186"</f>
        <v>0010700186</v>
      </c>
      <c r="F2804" s="5">
        <v>45643</v>
      </c>
      <c r="G2804" s="5">
        <v>54789</v>
      </c>
      <c r="H2804" s="4" t="str">
        <f>""</f>
        <v/>
      </c>
      <c r="I2804" s="4" t="str">
        <f>""</f>
        <v/>
      </c>
    </row>
    <row r="2805" spans="1:9" x14ac:dyDescent="0.3">
      <c r="A2805" s="1" t="str">
        <f>"74"</f>
        <v>74</v>
      </c>
      <c r="B2805" s="4" t="str">
        <f>"ETABLISSEMLENTS MARCEL DURET"</f>
        <v>ETABLISSEMLENTS MARCEL DURET</v>
      </c>
      <c r="C2805" s="4">
        <v>304733157</v>
      </c>
      <c r="D2805" s="3" t="s">
        <v>0</v>
      </c>
      <c r="E2805" s="2" t="str">
        <f>"PR7400013D"</f>
        <v>PR7400013D</v>
      </c>
      <c r="F2805" s="5">
        <v>43417</v>
      </c>
      <c r="G2805" s="5">
        <v>54789</v>
      </c>
      <c r="H2805" s="4" t="str">
        <f>""</f>
        <v/>
      </c>
      <c r="I2805" s="4" t="str">
        <f>""</f>
        <v/>
      </c>
    </row>
    <row r="2806" spans="1:9" x14ac:dyDescent="0.3">
      <c r="A2806" s="1" t="str">
        <f>"74"</f>
        <v>74</v>
      </c>
      <c r="B2806" s="4" t="str">
        <f>"ETABLISSEMLENTS MARCEL DURET"</f>
        <v>ETABLISSEMLENTS MARCEL DURET</v>
      </c>
      <c r="C2806" s="4">
        <v>304733157</v>
      </c>
      <c r="D2806" s="3" t="s">
        <v>0</v>
      </c>
      <c r="E2806" s="2" t="str">
        <f>"0006110342"</f>
        <v>0006110342</v>
      </c>
      <c r="F2806" s="5">
        <v>43417</v>
      </c>
      <c r="G2806" s="5">
        <v>54789</v>
      </c>
      <c r="H2806" s="4" t="str">
        <f>""</f>
        <v/>
      </c>
      <c r="I2806" s="4" t="str">
        <f>""</f>
        <v/>
      </c>
    </row>
    <row r="2807" spans="1:9" x14ac:dyDescent="0.3">
      <c r="A2807" s="1" t="str">
        <f>"74"</f>
        <v>74</v>
      </c>
      <c r="B2807" s="4" t="str">
        <f>"PORTIGLIATI"</f>
        <v>PORTIGLIATI</v>
      </c>
      <c r="C2807" s="4">
        <v>315444620</v>
      </c>
      <c r="D2807" s="3" t="s">
        <v>0</v>
      </c>
      <c r="E2807" s="2" t="str">
        <f>"PR7400018D"</f>
        <v>PR7400018D</v>
      </c>
      <c r="F2807" s="5">
        <v>43788</v>
      </c>
      <c r="G2807" s="5">
        <v>54789</v>
      </c>
      <c r="H2807" s="4" t="str">
        <f>""</f>
        <v/>
      </c>
      <c r="I2807" s="4" t="str">
        <f>""</f>
        <v/>
      </c>
    </row>
    <row r="2808" spans="1:9" x14ac:dyDescent="0.3">
      <c r="A2808" s="1" t="str">
        <f>"74"</f>
        <v>74</v>
      </c>
      <c r="B2808" s="4" t="str">
        <f>"PORTIGLIATI"</f>
        <v>PORTIGLIATI</v>
      </c>
      <c r="C2808" s="4">
        <v>315444620</v>
      </c>
      <c r="D2808" s="3" t="s">
        <v>0</v>
      </c>
      <c r="E2808" s="2" t="str">
        <f>"0010800069"</f>
        <v>0010800069</v>
      </c>
      <c r="F2808" s="5">
        <v>43788</v>
      </c>
      <c r="G2808" s="5">
        <v>54789</v>
      </c>
      <c r="H2808" s="4" t="str">
        <f>""</f>
        <v/>
      </c>
      <c r="I2808" s="4" t="str">
        <f>""</f>
        <v/>
      </c>
    </row>
    <row r="2809" spans="1:9" x14ac:dyDescent="0.3">
      <c r="A2809" s="1" t="str">
        <f>"74"</f>
        <v>74</v>
      </c>
      <c r="B2809" s="4" t="str">
        <f>"FLASH AUTO (cessé repris par EXCOFFIER)"</f>
        <v>FLASH AUTO (cessé repris par EXCOFFIER)</v>
      </c>
      <c r="C2809" s="4">
        <v>327020087</v>
      </c>
      <c r="D2809" s="3" t="s">
        <v>0</v>
      </c>
      <c r="E2809" s="2" t="str">
        <f>"PR7400037D"</f>
        <v>PR7400037D</v>
      </c>
      <c r="F2809" s="5">
        <v>43343</v>
      </c>
      <c r="G2809" s="5">
        <v>54789</v>
      </c>
      <c r="H2809" s="4" t="str">
        <f>""</f>
        <v/>
      </c>
      <c r="I2809" s="4" t="str">
        <f>""</f>
        <v/>
      </c>
    </row>
    <row r="2810" spans="1:9" x14ac:dyDescent="0.3">
      <c r="A2810" s="1" t="str">
        <f>"74"</f>
        <v>74</v>
      </c>
      <c r="B2810" s="4" t="str">
        <f>"FLASH AUTO (cessé repris par EXCOFFIER)"</f>
        <v>FLASH AUTO (cessé repris par EXCOFFIER)</v>
      </c>
      <c r="C2810" s="4">
        <v>327020087</v>
      </c>
      <c r="D2810" s="3" t="s">
        <v>0</v>
      </c>
      <c r="E2810" s="2" t="str">
        <f>"0010800004"</f>
        <v>0010800004</v>
      </c>
      <c r="F2810" s="5">
        <v>43343</v>
      </c>
      <c r="G2810" s="5">
        <v>54789</v>
      </c>
      <c r="H2810" s="4" t="str">
        <f>""</f>
        <v/>
      </c>
      <c r="I2810" s="4" t="str">
        <f>""</f>
        <v/>
      </c>
    </row>
    <row r="2811" spans="1:9" x14ac:dyDescent="0.3">
      <c r="A2811" s="1" t="str">
        <f>"74"</f>
        <v>74</v>
      </c>
      <c r="B2811" s="4" t="str">
        <f>"EXCOFFIER RECYCLAGE"</f>
        <v>EXCOFFIER RECYCLAGE</v>
      </c>
      <c r="C2811" s="4">
        <v>327020087</v>
      </c>
      <c r="D2811" s="3" t="s">
        <v>0</v>
      </c>
      <c r="E2811" s="2" t="str">
        <f>"PR7400030D"</f>
        <v>PR7400030D</v>
      </c>
      <c r="F2811" s="5">
        <v>42793</v>
      </c>
      <c r="G2811" s="5">
        <v>54789</v>
      </c>
      <c r="H2811" s="4" t="str">
        <f>""</f>
        <v/>
      </c>
      <c r="I2811" s="4" t="str">
        <f>""</f>
        <v/>
      </c>
    </row>
    <row r="2812" spans="1:9" x14ac:dyDescent="0.3">
      <c r="A2812" s="1" t="str">
        <f>"74"</f>
        <v>74</v>
      </c>
      <c r="B2812" s="4" t="str">
        <f>"EXCOFFIER RECYCLAGE"</f>
        <v>EXCOFFIER RECYCLAGE</v>
      </c>
      <c r="C2812" s="4">
        <v>327020087</v>
      </c>
      <c r="D2812" s="3" t="s">
        <v>0</v>
      </c>
      <c r="E2812" s="2" t="str">
        <f>"0010800057"</f>
        <v>0010800057</v>
      </c>
      <c r="F2812" s="5">
        <v>42793</v>
      </c>
      <c r="G2812" s="5">
        <v>54789</v>
      </c>
      <c r="H2812" s="4" t="str">
        <f>""</f>
        <v/>
      </c>
      <c r="I2812" s="4" t="str">
        <f>""</f>
        <v/>
      </c>
    </row>
    <row r="2813" spans="1:9" x14ac:dyDescent="0.3">
      <c r="A2813" s="1" t="str">
        <f>"74"</f>
        <v>74</v>
      </c>
      <c r="B2813" s="4" t="str">
        <f>"PURFER"</f>
        <v>PURFER</v>
      </c>
      <c r="C2813" s="4">
        <v>332628171</v>
      </c>
      <c r="D2813" s="3" t="s">
        <v>0</v>
      </c>
      <c r="E2813" s="2" t="str">
        <f>"PR7400026D"</f>
        <v>PR7400026D</v>
      </c>
      <c r="F2813" s="5">
        <v>42025</v>
      </c>
      <c r="G2813" s="5">
        <v>54789</v>
      </c>
      <c r="H2813" s="4" t="str">
        <f>""</f>
        <v/>
      </c>
      <c r="I2813" s="4" t="str">
        <f>""</f>
        <v/>
      </c>
    </row>
    <row r="2814" spans="1:9" x14ac:dyDescent="0.3">
      <c r="A2814" s="1" t="str">
        <f>"74"</f>
        <v>74</v>
      </c>
      <c r="B2814" s="4" t="str">
        <f>"PURFER"</f>
        <v>PURFER</v>
      </c>
      <c r="C2814" s="4">
        <v>332628171</v>
      </c>
      <c r="D2814" s="3" t="s">
        <v>0</v>
      </c>
      <c r="E2814" s="2" t="str">
        <f>"0010800501"</f>
        <v>0010800501</v>
      </c>
      <c r="F2814" s="5">
        <v>42025</v>
      </c>
      <c r="G2814" s="5">
        <v>54789</v>
      </c>
      <c r="H2814" s="4" t="str">
        <f>""</f>
        <v/>
      </c>
      <c r="I2814" s="4" t="str">
        <f>""</f>
        <v/>
      </c>
    </row>
    <row r="2815" spans="1:9" x14ac:dyDescent="0.3">
      <c r="A2815" s="1" t="str">
        <f>"74"</f>
        <v>74</v>
      </c>
      <c r="B2815" s="4" t="str">
        <f>"ARGONAY PIECES AUTO"</f>
        <v>ARGONAY PIECES AUTO</v>
      </c>
      <c r="C2815" s="4">
        <v>341806636</v>
      </c>
      <c r="D2815" s="3" t="s">
        <v>0</v>
      </c>
      <c r="E2815" s="2" t="str">
        <f>"PR7400008D"</f>
        <v>PR7400008D</v>
      </c>
      <c r="F2815" s="5">
        <v>43901</v>
      </c>
      <c r="G2815" s="5">
        <v>54789</v>
      </c>
      <c r="H2815" s="4" t="str">
        <f>""</f>
        <v/>
      </c>
      <c r="I2815" s="4" t="str">
        <f>""</f>
        <v/>
      </c>
    </row>
    <row r="2816" spans="1:9" x14ac:dyDescent="0.3">
      <c r="A2816" s="1" t="str">
        <f>"74"</f>
        <v>74</v>
      </c>
      <c r="B2816" s="4" t="str">
        <f>"SARL SEG TARDY"</f>
        <v>SARL SEG TARDY</v>
      </c>
      <c r="C2816" s="4">
        <v>341977098</v>
      </c>
      <c r="D2816" s="3" t="s">
        <v>0</v>
      </c>
      <c r="E2816" s="2" t="str">
        <f>"PR7400031D"</f>
        <v>PR7400031D</v>
      </c>
      <c r="F2816" s="5">
        <v>43166</v>
      </c>
      <c r="G2816" s="5">
        <v>54789</v>
      </c>
      <c r="H2816" s="4" t="str">
        <f>""</f>
        <v/>
      </c>
      <c r="I2816" s="4" t="str">
        <f>""</f>
        <v/>
      </c>
    </row>
    <row r="2817" spans="1:9" x14ac:dyDescent="0.3">
      <c r="A2817" s="1" t="str">
        <f>"74"</f>
        <v>74</v>
      </c>
      <c r="B2817" s="4" t="str">
        <f>"SARL SEG TARDY"</f>
        <v>SARL SEG TARDY</v>
      </c>
      <c r="C2817" s="4">
        <v>341977098</v>
      </c>
      <c r="D2817" s="3" t="s">
        <v>0</v>
      </c>
      <c r="E2817" s="2" t="str">
        <f>"6109076"</f>
        <v>6109076</v>
      </c>
      <c r="F2817" s="5">
        <v>43166</v>
      </c>
      <c r="G2817" s="5">
        <v>54789</v>
      </c>
      <c r="H2817" s="4" t="str">
        <f>""</f>
        <v/>
      </c>
      <c r="I2817" s="4" t="str">
        <f>""</f>
        <v/>
      </c>
    </row>
    <row r="2818" spans="1:9" x14ac:dyDescent="0.3">
      <c r="A2818" s="1" t="str">
        <f>"74"</f>
        <v>74</v>
      </c>
      <c r="B2818" s="4" t="str">
        <f>"PERIE ET FILS SARL"</f>
        <v>PERIE ET FILS SARL</v>
      </c>
      <c r="C2818" s="4">
        <v>348446709</v>
      </c>
      <c r="D2818" s="3" t="s">
        <v>0</v>
      </c>
      <c r="E2818" s="2" t="str">
        <f>"PR7400016D"</f>
        <v>PR7400016D</v>
      </c>
      <c r="F2818" s="5">
        <v>43424</v>
      </c>
      <c r="G2818" s="5">
        <v>54789</v>
      </c>
      <c r="H2818" s="4" t="str">
        <f>""</f>
        <v/>
      </c>
      <c r="I2818" s="4" t="str">
        <f>""</f>
        <v/>
      </c>
    </row>
    <row r="2819" spans="1:9" x14ac:dyDescent="0.3">
      <c r="A2819" s="1" t="str">
        <f>"74"</f>
        <v>74</v>
      </c>
      <c r="B2819" s="4" t="str">
        <f>"PERIE ET FILS SARL"</f>
        <v>PERIE ET FILS SARL</v>
      </c>
      <c r="C2819" s="4">
        <v>348446709</v>
      </c>
      <c r="D2819" s="3" t="s">
        <v>0</v>
      </c>
      <c r="E2819" s="2" t="str">
        <f>"0010800046"</f>
        <v>0010800046</v>
      </c>
      <c r="F2819" s="5">
        <v>43424</v>
      </c>
      <c r="G2819" s="5">
        <v>54789</v>
      </c>
      <c r="H2819" s="4" t="str">
        <f>""</f>
        <v/>
      </c>
      <c r="I2819" s="4" t="str">
        <f>""</f>
        <v/>
      </c>
    </row>
    <row r="2820" spans="1:9" x14ac:dyDescent="0.3">
      <c r="A2820" s="1" t="str">
        <f>"74"</f>
        <v>74</v>
      </c>
      <c r="B2820" s="4" t="str">
        <f>"SAS DUBY AUTO"</f>
        <v>SAS DUBY AUTO</v>
      </c>
      <c r="C2820" s="4">
        <v>384150983</v>
      </c>
      <c r="D2820" s="3" t="s">
        <v>0</v>
      </c>
      <c r="E2820" s="2" t="str">
        <f>"PR7400027D"</f>
        <v>PR7400027D</v>
      </c>
      <c r="F2820" s="5">
        <v>42306</v>
      </c>
      <c r="G2820" s="5">
        <v>54789</v>
      </c>
      <c r="H2820" s="4" t="str">
        <f>""</f>
        <v/>
      </c>
      <c r="I2820" s="4" t="str">
        <f>""</f>
        <v/>
      </c>
    </row>
    <row r="2821" spans="1:9" x14ac:dyDescent="0.3">
      <c r="A2821" s="1" t="str">
        <f>"74"</f>
        <v>74</v>
      </c>
      <c r="B2821" s="4" t="str">
        <f>"SAS DUBY AUTO"</f>
        <v>SAS DUBY AUTO</v>
      </c>
      <c r="C2821" s="4">
        <v>384150983</v>
      </c>
      <c r="D2821" s="3" t="s">
        <v>0</v>
      </c>
      <c r="E2821" s="2" t="str">
        <f>"0006104651"</f>
        <v>0006104651</v>
      </c>
      <c r="F2821" s="5">
        <v>42306</v>
      </c>
      <c r="G2821" s="5">
        <v>54789</v>
      </c>
      <c r="H2821" s="4" t="str">
        <f>""</f>
        <v/>
      </c>
      <c r="I2821" s="4" t="str">
        <f>""</f>
        <v/>
      </c>
    </row>
    <row r="2822" spans="1:9" x14ac:dyDescent="0.3">
      <c r="A2822" s="1" t="str">
        <f>"74"</f>
        <v>74</v>
      </c>
      <c r="B2822" s="4" t="str">
        <f>"EURL FAUCIGNY AUTO PIECES"</f>
        <v>EURL FAUCIGNY AUTO PIECES</v>
      </c>
      <c r="C2822" s="4">
        <v>394370423</v>
      </c>
      <c r="D2822" s="3" t="s">
        <v>0</v>
      </c>
      <c r="E2822" s="2" t="str">
        <f>"PR7400005D"</f>
        <v>PR7400005D</v>
      </c>
      <c r="F2822" s="5">
        <v>43168</v>
      </c>
      <c r="G2822" s="5">
        <v>54789</v>
      </c>
      <c r="H2822" s="4" t="str">
        <f>""</f>
        <v/>
      </c>
      <c r="I2822" s="4" t="str">
        <f>""</f>
        <v/>
      </c>
    </row>
    <row r="2823" spans="1:9" x14ac:dyDescent="0.3">
      <c r="A2823" s="1" t="str">
        <f>"74"</f>
        <v>74</v>
      </c>
      <c r="B2823" s="4" t="str">
        <f>"EURL FAUCIGNY AUTO PIECES"</f>
        <v>EURL FAUCIGNY AUTO PIECES</v>
      </c>
      <c r="C2823" s="4">
        <v>394370423</v>
      </c>
      <c r="D2823" s="3" t="s">
        <v>0</v>
      </c>
      <c r="E2823" s="2" t="str">
        <f>"0010800458"</f>
        <v>0010800458</v>
      </c>
      <c r="F2823" s="5">
        <v>43168</v>
      </c>
      <c r="G2823" s="5">
        <v>54789</v>
      </c>
      <c r="H2823" s="4" t="str">
        <f>""</f>
        <v/>
      </c>
      <c r="I2823" s="4" t="str">
        <f>""</f>
        <v/>
      </c>
    </row>
    <row r="2824" spans="1:9" x14ac:dyDescent="0.3">
      <c r="A2824" s="1" t="str">
        <f>"74"</f>
        <v>74</v>
      </c>
      <c r="B2824" s="4" t="str">
        <f>"GARAGE BALLEYDIER"</f>
        <v>GARAGE BALLEYDIER</v>
      </c>
      <c r="C2824" s="4">
        <v>404979585</v>
      </c>
      <c r="D2824" s="3" t="s">
        <v>0</v>
      </c>
      <c r="E2824" s="2" t="str">
        <f>"PR7400025D"</f>
        <v>PR7400025D</v>
      </c>
      <c r="F2824" s="5">
        <v>43937</v>
      </c>
      <c r="G2824" s="5">
        <v>54789</v>
      </c>
      <c r="H2824" s="4" t="str">
        <f>""</f>
        <v/>
      </c>
      <c r="I2824" s="4" t="str">
        <f>""</f>
        <v/>
      </c>
    </row>
    <row r="2825" spans="1:9" x14ac:dyDescent="0.3">
      <c r="A2825" s="1" t="str">
        <f>"74"</f>
        <v>74</v>
      </c>
      <c r="B2825" s="4" t="str">
        <f>"GARAGE BALLEYDIER"</f>
        <v>GARAGE BALLEYDIER</v>
      </c>
      <c r="C2825" s="4">
        <v>404979585</v>
      </c>
      <c r="D2825" s="3" t="s">
        <v>0</v>
      </c>
      <c r="E2825" s="2" t="str">
        <f>"0010800548"</f>
        <v>0010800548</v>
      </c>
      <c r="F2825" s="5">
        <v>43937</v>
      </c>
      <c r="G2825" s="5">
        <v>54789</v>
      </c>
      <c r="H2825" s="4" t="str">
        <f>""</f>
        <v/>
      </c>
      <c r="I2825" s="4" t="str">
        <f>""</f>
        <v/>
      </c>
    </row>
    <row r="2826" spans="1:9" x14ac:dyDescent="0.3">
      <c r="A2826" s="1" t="str">
        <f>"74"</f>
        <v>74</v>
      </c>
      <c r="B2826" s="4" t="str">
        <f>"LOUIS ARNAUD-GODDET"</f>
        <v>LOUIS ARNAUD-GODDET</v>
      </c>
      <c r="C2826" s="4">
        <v>412484537</v>
      </c>
      <c r="D2826" s="3" t="s">
        <v>0</v>
      </c>
      <c r="E2826" s="2" t="str">
        <f>"PR7400032D"</f>
        <v>PR7400032D</v>
      </c>
      <c r="F2826" s="5">
        <v>44272</v>
      </c>
      <c r="G2826" s="5">
        <v>54789</v>
      </c>
      <c r="H2826" s="4" t="str">
        <f>""</f>
        <v/>
      </c>
      <c r="I2826" s="4" t="str">
        <f>""</f>
        <v/>
      </c>
    </row>
    <row r="2827" spans="1:9" x14ac:dyDescent="0.3">
      <c r="A2827" s="1" t="str">
        <f>"74"</f>
        <v>74</v>
      </c>
      <c r="B2827" s="4" t="str">
        <f>"LOUIS ARNAUD-GODDET"</f>
        <v>LOUIS ARNAUD-GODDET</v>
      </c>
      <c r="C2827" s="4">
        <v>412484537</v>
      </c>
      <c r="D2827" s="3" t="s">
        <v>0</v>
      </c>
      <c r="E2827" s="2" t="str">
        <f>"0010800490"</f>
        <v>0010800490</v>
      </c>
      <c r="F2827" s="5">
        <v>44272</v>
      </c>
      <c r="G2827" s="5">
        <v>54789</v>
      </c>
      <c r="H2827" s="4" t="str">
        <f>""</f>
        <v/>
      </c>
      <c r="I2827" s="4" t="str">
        <f>""</f>
        <v/>
      </c>
    </row>
    <row r="2828" spans="1:9" x14ac:dyDescent="0.3">
      <c r="A2828" s="1" t="str">
        <f>"74"</f>
        <v>74</v>
      </c>
      <c r="B2828" s="4" t="str">
        <f>"PIECES AUTO MOËNE"</f>
        <v>PIECES AUTO MOËNE</v>
      </c>
      <c r="C2828" s="4">
        <v>431295294</v>
      </c>
      <c r="D2828" s="3" t="s">
        <v>0</v>
      </c>
      <c r="E2828" s="2" t="str">
        <f>"PR7400003D"</f>
        <v>PR7400003D</v>
      </c>
      <c r="F2828" s="5">
        <v>43266</v>
      </c>
      <c r="G2828" s="5">
        <v>54789</v>
      </c>
      <c r="H2828" s="4" t="str">
        <f>""</f>
        <v/>
      </c>
      <c r="I2828" s="4" t="str">
        <f>""</f>
        <v/>
      </c>
    </row>
    <row r="2829" spans="1:9" x14ac:dyDescent="0.3">
      <c r="A2829" s="1" t="str">
        <f>"74"</f>
        <v>74</v>
      </c>
      <c r="B2829" s="4" t="str">
        <f>"PIECES AUTO MOËNE"</f>
        <v>PIECES AUTO MOËNE</v>
      </c>
      <c r="C2829" s="4">
        <v>431295294</v>
      </c>
      <c r="D2829" s="3" t="s">
        <v>0</v>
      </c>
      <c r="E2829" s="2" t="str">
        <f>"6104593"</f>
        <v>6104593</v>
      </c>
      <c r="F2829" s="5">
        <v>43266</v>
      </c>
      <c r="G2829" s="5">
        <v>54789</v>
      </c>
      <c r="H2829" s="4" t="str">
        <f>""</f>
        <v/>
      </c>
      <c r="I2829" s="4" t="str">
        <f>""</f>
        <v/>
      </c>
    </row>
    <row r="2830" spans="1:9" x14ac:dyDescent="0.3">
      <c r="A2830" s="1" t="str">
        <f>"74"</f>
        <v>74</v>
      </c>
      <c r="B2830" s="4" t="str">
        <f>"BOCHET RECYCLAGE"</f>
        <v>BOCHET RECYCLAGE</v>
      </c>
      <c r="C2830" s="4">
        <v>488380858</v>
      </c>
      <c r="D2830" s="3" t="s">
        <v>0</v>
      </c>
      <c r="E2830" s="2" t="str">
        <f>"PR7400002D"</f>
        <v>PR7400002D</v>
      </c>
      <c r="F2830" s="5">
        <v>43242</v>
      </c>
      <c r="G2830" s="5">
        <v>54789</v>
      </c>
      <c r="H2830" s="4" t="str">
        <f>""</f>
        <v/>
      </c>
      <c r="I2830" s="4" t="str">
        <f>""</f>
        <v/>
      </c>
    </row>
    <row r="2831" spans="1:9" x14ac:dyDescent="0.3">
      <c r="A2831" s="1" t="str">
        <f>"74"</f>
        <v>74</v>
      </c>
      <c r="B2831" s="4" t="str">
        <f>"BOCHET RECYCLAGE"</f>
        <v>BOCHET RECYCLAGE</v>
      </c>
      <c r="C2831" s="4">
        <v>488380858</v>
      </c>
      <c r="D2831" s="3" t="s">
        <v>0</v>
      </c>
      <c r="E2831" s="2" t="str">
        <f>"0010800459"</f>
        <v>0010800459</v>
      </c>
      <c r="F2831" s="5">
        <v>43242</v>
      </c>
      <c r="G2831" s="5">
        <v>54789</v>
      </c>
      <c r="H2831" s="4" t="str">
        <f>""</f>
        <v/>
      </c>
      <c r="I2831" s="4" t="str">
        <f>""</f>
        <v/>
      </c>
    </row>
    <row r="2832" spans="1:9" x14ac:dyDescent="0.3">
      <c r="A2832" s="1" t="str">
        <f>"74"</f>
        <v>74</v>
      </c>
      <c r="B2832" s="4" t="str">
        <f>"SARL TODOROFF ET FILS"</f>
        <v>SARL TODOROFF ET FILS</v>
      </c>
      <c r="C2832" s="4">
        <v>510714884</v>
      </c>
      <c r="D2832" s="3" t="s">
        <v>0</v>
      </c>
      <c r="E2832" s="2" t="str">
        <f>"PR7400021D"</f>
        <v>PR7400021D</v>
      </c>
      <c r="F2832" s="5">
        <v>43779</v>
      </c>
      <c r="G2832" s="5">
        <v>54789</v>
      </c>
      <c r="H2832" s="4" t="str">
        <f>""</f>
        <v/>
      </c>
      <c r="I2832" s="4" t="str">
        <f>""</f>
        <v/>
      </c>
    </row>
    <row r="2833" spans="1:9" x14ac:dyDescent="0.3">
      <c r="A2833" s="1" t="str">
        <f>"74"</f>
        <v>74</v>
      </c>
      <c r="B2833" s="4" t="str">
        <f>"SARL TODOROFF ET FILS"</f>
        <v>SARL TODOROFF ET FILS</v>
      </c>
      <c r="C2833" s="4">
        <v>510714884</v>
      </c>
      <c r="D2833" s="3" t="s">
        <v>0</v>
      </c>
      <c r="E2833" s="2" t="str">
        <f>"0010800499"</f>
        <v>0010800499</v>
      </c>
      <c r="F2833" s="5">
        <v>43779</v>
      </c>
      <c r="G2833" s="5">
        <v>54789</v>
      </c>
      <c r="H2833" s="4" t="str">
        <f>""</f>
        <v/>
      </c>
      <c r="I2833" s="4" t="str">
        <f>""</f>
        <v/>
      </c>
    </row>
    <row r="2834" spans="1:9" x14ac:dyDescent="0.3">
      <c r="A2834" s="1" t="str">
        <f>"74"</f>
        <v>74</v>
      </c>
      <c r="B2834" s="4" t="str">
        <f>"AUTOTILT"</f>
        <v>AUTOTILT</v>
      </c>
      <c r="C2834" s="4">
        <v>521280396</v>
      </c>
      <c r="D2834" s="3" t="s">
        <v>0</v>
      </c>
      <c r="E2834" s="2" t="str">
        <f>"PR7400022D"</f>
        <v>PR7400022D</v>
      </c>
      <c r="F2834" s="5">
        <v>43796</v>
      </c>
      <c r="G2834" s="5">
        <v>54789</v>
      </c>
      <c r="H2834" s="4" t="str">
        <f>""</f>
        <v/>
      </c>
      <c r="I2834" s="4" t="str">
        <f>""</f>
        <v/>
      </c>
    </row>
    <row r="2835" spans="1:9" x14ac:dyDescent="0.3">
      <c r="A2835" s="1" t="str">
        <f>"74"</f>
        <v>74</v>
      </c>
      <c r="B2835" s="4" t="str">
        <f>"AUTOTILT"</f>
        <v>AUTOTILT</v>
      </c>
      <c r="C2835" s="4">
        <v>521280396</v>
      </c>
      <c r="D2835" s="3" t="s">
        <v>0</v>
      </c>
      <c r="E2835" s="2" t="str">
        <f>"0010800061"</f>
        <v>0010800061</v>
      </c>
      <c r="F2835" s="5">
        <v>43796</v>
      </c>
      <c r="G2835" s="5">
        <v>54789</v>
      </c>
      <c r="H2835" s="4" t="str">
        <f>""</f>
        <v/>
      </c>
      <c r="I2835" s="4" t="str">
        <f>""</f>
        <v/>
      </c>
    </row>
    <row r="2836" spans="1:9" x14ac:dyDescent="0.3">
      <c r="A2836" s="1" t="str">
        <f>"74"</f>
        <v>74</v>
      </c>
      <c r="B2836" s="4" t="str">
        <f>"DEMOL'ROCHOISE"</f>
        <v>DEMOL'ROCHOISE</v>
      </c>
      <c r="C2836" s="4">
        <v>532865789</v>
      </c>
      <c r="D2836" s="3" t="s">
        <v>0</v>
      </c>
      <c r="E2836" s="2" t="str">
        <f>"PR7400024D"</f>
        <v>PR7400024D</v>
      </c>
      <c r="F2836" s="5">
        <v>41814</v>
      </c>
      <c r="G2836" s="5">
        <v>54789</v>
      </c>
      <c r="H2836" s="4" t="str">
        <f>""</f>
        <v/>
      </c>
      <c r="I2836" s="4" t="str">
        <f>""</f>
        <v/>
      </c>
    </row>
    <row r="2837" spans="1:9" x14ac:dyDescent="0.3">
      <c r="A2837" s="1" t="str">
        <f>"74"</f>
        <v>74</v>
      </c>
      <c r="B2837" s="4" t="str">
        <f>"DEMOL'ROCHOISE"</f>
        <v>DEMOL'ROCHOISE</v>
      </c>
      <c r="C2837" s="4">
        <v>532865789</v>
      </c>
      <c r="D2837" s="3" t="s">
        <v>0</v>
      </c>
      <c r="E2837" s="2" t="str">
        <f>"0010800512"</f>
        <v>0010800512</v>
      </c>
      <c r="F2837" s="5">
        <v>41814</v>
      </c>
      <c r="G2837" s="5">
        <v>54789</v>
      </c>
      <c r="H2837" s="4" t="str">
        <f>""</f>
        <v/>
      </c>
      <c r="I2837" s="4" t="str">
        <f>""</f>
        <v/>
      </c>
    </row>
    <row r="2838" spans="1:9" x14ac:dyDescent="0.3">
      <c r="A2838" s="1" t="str">
        <f>"74"</f>
        <v>74</v>
      </c>
      <c r="B2838" s="4" t="str">
        <f>"VIGNIER F"</f>
        <v>VIGNIER F</v>
      </c>
      <c r="C2838" s="4">
        <v>750984395</v>
      </c>
      <c r="D2838" s="3" t="s">
        <v>0</v>
      </c>
      <c r="E2838" s="2" t="str">
        <f>"PR7400019D"</f>
        <v>PR7400019D</v>
      </c>
      <c r="F2838" s="5">
        <v>43680</v>
      </c>
      <c r="G2838" s="5">
        <v>54789</v>
      </c>
      <c r="H2838" s="4" t="str">
        <f>""</f>
        <v/>
      </c>
      <c r="I2838" s="4" t="str">
        <f>""</f>
        <v/>
      </c>
    </row>
    <row r="2839" spans="1:9" x14ac:dyDescent="0.3">
      <c r="A2839" s="1" t="str">
        <f>"74"</f>
        <v>74</v>
      </c>
      <c r="B2839" s="4" t="str">
        <f>"MAISON DEYA"</f>
        <v>MAISON DEYA</v>
      </c>
      <c r="C2839" s="4">
        <v>796180610</v>
      </c>
      <c r="D2839" s="3" t="s">
        <v>0</v>
      </c>
      <c r="E2839" s="2" t="str">
        <f>"PR7400015D"</f>
        <v>PR7400015D</v>
      </c>
      <c r="F2839" s="5">
        <v>43547</v>
      </c>
      <c r="G2839" s="5">
        <v>54789</v>
      </c>
      <c r="H2839" s="4" t="str">
        <f>""</f>
        <v/>
      </c>
      <c r="I2839" s="4" t="str">
        <f>""</f>
        <v/>
      </c>
    </row>
    <row r="2840" spans="1:9" x14ac:dyDescent="0.3">
      <c r="A2840" s="1" t="str">
        <f>"74"</f>
        <v>74</v>
      </c>
      <c r="B2840" s="4" t="str">
        <f>"MAISON DEYA"</f>
        <v>MAISON DEYA</v>
      </c>
      <c r="C2840" s="4">
        <v>796180610</v>
      </c>
      <c r="D2840" s="3" t="s">
        <v>0</v>
      </c>
      <c r="E2840" s="2" t="str">
        <f>"0006104742"</f>
        <v>0006104742</v>
      </c>
      <c r="F2840" s="5">
        <v>43547</v>
      </c>
      <c r="G2840" s="5">
        <v>54789</v>
      </c>
      <c r="H2840" s="4" t="str">
        <f>""</f>
        <v/>
      </c>
      <c r="I2840" s="4" t="str">
        <f>""</f>
        <v/>
      </c>
    </row>
    <row r="2841" spans="1:9" x14ac:dyDescent="0.3">
      <c r="A2841" s="1" t="str">
        <f>"74"</f>
        <v>74</v>
      </c>
      <c r="B2841" s="4" t="str">
        <f>"BOCHATAY PIECES AUTOS"</f>
        <v>BOCHATAY PIECES AUTOS</v>
      </c>
      <c r="C2841" s="4">
        <v>807389069</v>
      </c>
      <c r="D2841" s="3" t="s">
        <v>0</v>
      </c>
      <c r="E2841" s="2" t="str">
        <f>"PR7400004D"</f>
        <v>PR7400004D</v>
      </c>
      <c r="F2841" s="5">
        <v>42341</v>
      </c>
      <c r="G2841" s="5">
        <v>54789</v>
      </c>
      <c r="H2841" s="4" t="str">
        <f>""</f>
        <v/>
      </c>
      <c r="I2841" s="4" t="str">
        <f>""</f>
        <v/>
      </c>
    </row>
    <row r="2842" spans="1:9" x14ac:dyDescent="0.3">
      <c r="A2842" s="1" t="str">
        <f>"74"</f>
        <v>74</v>
      </c>
      <c r="B2842" s="4" t="str">
        <f>"GARAGE NEVEU ET FILS"</f>
        <v>GARAGE NEVEU ET FILS</v>
      </c>
      <c r="C2842" s="4">
        <v>824180988</v>
      </c>
      <c r="D2842" s="3" t="s">
        <v>0</v>
      </c>
      <c r="E2842" s="2" t="str">
        <f>"PR7400017D"</f>
        <v>PR7400017D</v>
      </c>
      <c r="F2842" s="5">
        <v>42453</v>
      </c>
      <c r="G2842" s="5">
        <v>54789</v>
      </c>
      <c r="H2842" s="4" t="str">
        <f>"NEVEU"</f>
        <v>NEVEU</v>
      </c>
      <c r="I2842" s="4" t="str">
        <f>"Jean-Louis"</f>
        <v>Jean-Louis</v>
      </c>
    </row>
    <row r="2843" spans="1:9" x14ac:dyDescent="0.3">
      <c r="A2843" s="1" t="str">
        <f>"74"</f>
        <v>74</v>
      </c>
      <c r="B2843" s="4" t="str">
        <f>"BRAND AUTOMOBILES"</f>
        <v>BRAND AUTOMOBILES</v>
      </c>
      <c r="C2843" s="4">
        <v>849352117</v>
      </c>
      <c r="D2843" s="3" t="s">
        <v>0</v>
      </c>
      <c r="E2843" s="2" t="str">
        <f>"PR7400035D"</f>
        <v>PR7400035D</v>
      </c>
      <c r="F2843" s="5">
        <v>44503</v>
      </c>
      <c r="G2843" s="5">
        <v>54789</v>
      </c>
      <c r="H2843" s="4" t="str">
        <f>""</f>
        <v/>
      </c>
      <c r="I2843" s="4" t="str">
        <f>""</f>
        <v/>
      </c>
    </row>
    <row r="2844" spans="1:9" x14ac:dyDescent="0.3">
      <c r="A2844" s="1" t="str">
        <f>"74"</f>
        <v>74</v>
      </c>
      <c r="B2844" s="4" t="str">
        <f>"BRAND AUTOMOBILES"</f>
        <v>BRAND AUTOMOBILES</v>
      </c>
      <c r="C2844" s="4">
        <v>849352117</v>
      </c>
      <c r="D2844" s="3" t="s">
        <v>0</v>
      </c>
      <c r="E2844" s="2" t="str">
        <f>"3202766"</f>
        <v>3202766</v>
      </c>
      <c r="F2844" s="5">
        <v>44503</v>
      </c>
      <c r="G2844" s="5">
        <v>54789</v>
      </c>
      <c r="H2844" s="4" t="str">
        <f>""</f>
        <v/>
      </c>
      <c r="I2844" s="4" t="str">
        <f>""</f>
        <v/>
      </c>
    </row>
    <row r="2845" spans="1:9" x14ac:dyDescent="0.3">
      <c r="A2845" s="1" t="str">
        <f>"74"</f>
        <v>74</v>
      </c>
      <c r="B2845" s="4" t="str">
        <f>"CARCASSE 74"</f>
        <v>CARCASSE 74</v>
      </c>
      <c r="C2845" s="4">
        <v>885187021</v>
      </c>
      <c r="D2845" s="3" t="s">
        <v>0</v>
      </c>
      <c r="E2845" s="2" t="str">
        <f>"PR7400036D"</f>
        <v>PR7400036D</v>
      </c>
      <c r="F2845" s="5">
        <v>44589</v>
      </c>
      <c r="G2845" s="5">
        <v>54789</v>
      </c>
      <c r="H2845" s="4" t="str">
        <f>""</f>
        <v/>
      </c>
      <c r="I2845" s="4" t="str">
        <f>""</f>
        <v/>
      </c>
    </row>
    <row r="2846" spans="1:9" x14ac:dyDescent="0.3">
      <c r="A2846" s="1" t="str">
        <f>"74"</f>
        <v>74</v>
      </c>
      <c r="B2846" s="4" t="str">
        <f>"CARCASSE 74"</f>
        <v>CARCASSE 74</v>
      </c>
      <c r="C2846" s="4">
        <v>885187021</v>
      </c>
      <c r="D2846" s="3" t="s">
        <v>0</v>
      </c>
      <c r="E2846" s="2" t="str">
        <f>"0006104631"</f>
        <v>0006104631</v>
      </c>
      <c r="F2846" s="5">
        <v>44589</v>
      </c>
      <c r="G2846" s="5">
        <v>54789</v>
      </c>
      <c r="H2846" s="4" t="str">
        <f>""</f>
        <v/>
      </c>
      <c r="I2846" s="4" t="str">
        <f>""</f>
        <v/>
      </c>
    </row>
    <row r="2847" spans="1:9" x14ac:dyDescent="0.3">
      <c r="A2847" s="1" t="str">
        <f>"76"</f>
        <v>76</v>
      </c>
      <c r="B2847" s="4" t="str">
        <f>"SA DEMOLITION DU TILLEUL"</f>
        <v>SA DEMOLITION DU TILLEUL</v>
      </c>
      <c r="C2847" s="4">
        <v>316733427</v>
      </c>
      <c r="D2847" s="3" t="s">
        <v>0</v>
      </c>
      <c r="E2847" s="2" t="str">
        <f>"PR7600001D"</f>
        <v>PR7600001D</v>
      </c>
      <c r="F2847" s="5">
        <v>43251</v>
      </c>
      <c r="G2847" s="5">
        <v>54789</v>
      </c>
      <c r="H2847" s="4" t="str">
        <f>""</f>
        <v/>
      </c>
      <c r="I2847" s="4" t="str">
        <f>""</f>
        <v/>
      </c>
    </row>
    <row r="2848" spans="1:9" x14ac:dyDescent="0.3">
      <c r="A2848" s="1" t="str">
        <f>"76"</f>
        <v>76</v>
      </c>
      <c r="B2848" s="4" t="str">
        <f>"SA DEMOLITION DU TILLEUL"</f>
        <v>SA DEMOLITION DU TILLEUL</v>
      </c>
      <c r="C2848" s="4">
        <v>316733427</v>
      </c>
      <c r="D2848" s="3" t="s">
        <v>0</v>
      </c>
      <c r="E2848" s="2" t="str">
        <f>"0005801869"</f>
        <v>0005801869</v>
      </c>
      <c r="F2848" s="5">
        <v>43251</v>
      </c>
      <c r="G2848" s="5">
        <v>54789</v>
      </c>
      <c r="H2848" s="4" t="str">
        <f>""</f>
        <v/>
      </c>
      <c r="I2848" s="4" t="str">
        <f>""</f>
        <v/>
      </c>
    </row>
    <row r="2849" spans="1:9" x14ac:dyDescent="0.3">
      <c r="A2849" s="1" t="str">
        <f>"76"</f>
        <v>76</v>
      </c>
      <c r="B2849" s="4" t="str">
        <f>"LEFEBVRE ET FILS SARL"</f>
        <v>LEFEBVRE ET FILS SARL</v>
      </c>
      <c r="C2849" s="4">
        <v>319659751</v>
      </c>
      <c r="D2849" s="3" t="s">
        <v>0</v>
      </c>
      <c r="E2849" s="2" t="str">
        <f>"PR7600008D"</f>
        <v>PR7600008D</v>
      </c>
      <c r="F2849" s="5">
        <v>43454</v>
      </c>
      <c r="G2849" s="5">
        <v>54789</v>
      </c>
      <c r="H2849" s="4" t="str">
        <f>""</f>
        <v/>
      </c>
      <c r="I2849" s="4" t="str">
        <f>""</f>
        <v/>
      </c>
    </row>
    <row r="2850" spans="1:9" x14ac:dyDescent="0.3">
      <c r="A2850" s="1" t="str">
        <f>"76"</f>
        <v>76</v>
      </c>
      <c r="B2850" s="4" t="str">
        <f>"LEFEBVRE ET FILS SARL"</f>
        <v>LEFEBVRE ET FILS SARL</v>
      </c>
      <c r="C2850" s="4">
        <v>319659751</v>
      </c>
      <c r="D2850" s="3" t="s">
        <v>0</v>
      </c>
      <c r="E2850" s="2" t="str">
        <f>"0005801402"</f>
        <v>0005801402</v>
      </c>
      <c r="F2850" s="5">
        <v>43454</v>
      </c>
      <c r="G2850" s="5">
        <v>54789</v>
      </c>
      <c r="H2850" s="4" t="str">
        <f>""</f>
        <v/>
      </c>
      <c r="I2850" s="4" t="str">
        <f>""</f>
        <v/>
      </c>
    </row>
    <row r="2851" spans="1:9" x14ac:dyDescent="0.3">
      <c r="A2851" s="1" t="str">
        <f>"76"</f>
        <v>76</v>
      </c>
      <c r="B2851" s="4" t="str">
        <f>"ETABLISSEMENTS RICHIERO SA"</f>
        <v>ETABLISSEMENTS RICHIERO SA</v>
      </c>
      <c r="C2851" s="4">
        <v>323505792</v>
      </c>
      <c r="D2851" s="3" t="s">
        <v>0</v>
      </c>
      <c r="E2851" s="2" t="str">
        <f>"PR7600061D"</f>
        <v>PR7600061D</v>
      </c>
      <c r="F2851" s="5">
        <v>44621</v>
      </c>
      <c r="G2851" s="5">
        <v>54789</v>
      </c>
      <c r="H2851" s="4" t="str">
        <f>""</f>
        <v/>
      </c>
      <c r="I2851" s="4" t="str">
        <f>""</f>
        <v/>
      </c>
    </row>
    <row r="2852" spans="1:9" x14ac:dyDescent="0.3">
      <c r="A2852" s="1" t="str">
        <f>"76"</f>
        <v>76</v>
      </c>
      <c r="B2852" s="4" t="str">
        <f>"ETABLISSEMENTS RICHIERO SA"</f>
        <v>ETABLISSEMENTS RICHIERO SA</v>
      </c>
      <c r="C2852" s="4">
        <v>323505792</v>
      </c>
      <c r="D2852" s="3" t="s">
        <v>0</v>
      </c>
      <c r="E2852" s="2" t="str">
        <f>"0005801440"</f>
        <v>0005801440</v>
      </c>
      <c r="F2852" s="5">
        <v>44621</v>
      </c>
      <c r="G2852" s="5">
        <v>54789</v>
      </c>
      <c r="H2852" s="4" t="str">
        <f>""</f>
        <v/>
      </c>
      <c r="I2852" s="4" t="str">
        <f>""</f>
        <v/>
      </c>
    </row>
    <row r="2853" spans="1:9" x14ac:dyDescent="0.3">
      <c r="A2853" s="1" t="str">
        <f>"76"</f>
        <v>76</v>
      </c>
      <c r="B2853" s="4" t="str">
        <f>"JMA AUTO"</f>
        <v>JMA AUTO</v>
      </c>
      <c r="C2853" s="4">
        <v>329426613</v>
      </c>
      <c r="D2853" s="3" t="s">
        <v>0</v>
      </c>
      <c r="E2853" s="2" t="str">
        <f>"0005801270"</f>
        <v>0005801270</v>
      </c>
      <c r="F2853" s="5">
        <v>41752</v>
      </c>
      <c r="G2853" s="5">
        <v>54789</v>
      </c>
      <c r="H2853" s="4" t="str">
        <f>""</f>
        <v/>
      </c>
      <c r="I2853" s="4" t="str">
        <f>""</f>
        <v/>
      </c>
    </row>
    <row r="2854" spans="1:9" x14ac:dyDescent="0.3">
      <c r="A2854" s="1" t="str">
        <f>"76"</f>
        <v>76</v>
      </c>
      <c r="B2854" s="4" t="str">
        <f>"ETS ROBERT HETTIER"</f>
        <v>ETS ROBERT HETTIER</v>
      </c>
      <c r="C2854" s="4">
        <v>332950781</v>
      </c>
      <c r="D2854" s="3" t="s">
        <v>0</v>
      </c>
      <c r="E2854" s="2" t="str">
        <f>"PR7600039D"</f>
        <v>PR7600039D</v>
      </c>
      <c r="F2854" s="5">
        <v>42944</v>
      </c>
      <c r="G2854" s="5">
        <v>54789</v>
      </c>
      <c r="H2854" s="4" t="str">
        <f>""</f>
        <v/>
      </c>
      <c r="I2854" s="4" t="str">
        <f>""</f>
        <v/>
      </c>
    </row>
    <row r="2855" spans="1:9" x14ac:dyDescent="0.3">
      <c r="A2855" s="1" t="str">
        <f>"76"</f>
        <v>76</v>
      </c>
      <c r="B2855" s="4" t="str">
        <f>"ETS ROBERT HETTIER"</f>
        <v>ETS ROBERT HETTIER</v>
      </c>
      <c r="C2855" s="4">
        <v>332950781</v>
      </c>
      <c r="D2855" s="3" t="s">
        <v>0</v>
      </c>
      <c r="E2855" s="2" t="str">
        <f>"0005803443"</f>
        <v>0005803443</v>
      </c>
      <c r="F2855" s="5">
        <v>42944</v>
      </c>
      <c r="G2855" s="5">
        <v>54789</v>
      </c>
      <c r="H2855" s="4" t="str">
        <f>""</f>
        <v/>
      </c>
      <c r="I2855" s="4" t="str">
        <f>""</f>
        <v/>
      </c>
    </row>
    <row r="2856" spans="1:9" x14ac:dyDescent="0.3">
      <c r="A2856" s="1" t="str">
        <f>"76"</f>
        <v>76</v>
      </c>
      <c r="B2856" s="4" t="str">
        <f>"ETS ROBERT HETTIER"</f>
        <v>ETS ROBERT HETTIER</v>
      </c>
      <c r="C2856" s="4">
        <v>332950781</v>
      </c>
      <c r="D2856" s="3" t="s">
        <v>0</v>
      </c>
      <c r="E2856" s="2" t="str">
        <f>"PR7600041B"</f>
        <v>PR7600041B</v>
      </c>
      <c r="F2856" s="5">
        <v>43276</v>
      </c>
      <c r="G2856" s="5">
        <v>54789</v>
      </c>
      <c r="H2856" s="4" t="str">
        <f>""</f>
        <v/>
      </c>
      <c r="I2856" s="4" t="str">
        <f>""</f>
        <v/>
      </c>
    </row>
    <row r="2857" spans="1:9" x14ac:dyDescent="0.3">
      <c r="A2857" s="1" t="str">
        <f>"76"</f>
        <v>76</v>
      </c>
      <c r="B2857" s="4" t="str">
        <f>"ETS ROBERT HETTIER"</f>
        <v>ETS ROBERT HETTIER</v>
      </c>
      <c r="C2857" s="4">
        <v>332950781</v>
      </c>
      <c r="D2857" s="3" t="s">
        <v>0</v>
      </c>
      <c r="E2857" s="2" t="str">
        <f>"0005803443"</f>
        <v>0005803443</v>
      </c>
      <c r="F2857" s="5">
        <v>43276</v>
      </c>
      <c r="G2857" s="5">
        <v>54789</v>
      </c>
      <c r="H2857" s="4" t="str">
        <f>""</f>
        <v/>
      </c>
      <c r="I2857" s="4" t="str">
        <f>""</f>
        <v/>
      </c>
    </row>
    <row r="2858" spans="1:9" x14ac:dyDescent="0.3">
      <c r="A2858" s="1" t="str">
        <f>"76"</f>
        <v>76</v>
      </c>
      <c r="B2858" s="4" t="str">
        <f>"ETABLISSEMENTS LALAURIE"</f>
        <v>ETABLISSEMENTS LALAURIE</v>
      </c>
      <c r="C2858" s="4">
        <v>344943816</v>
      </c>
      <c r="D2858" s="3" t="s">
        <v>0</v>
      </c>
      <c r="E2858" s="2" t="str">
        <f>"PR7600024D"</f>
        <v>PR7600024D</v>
      </c>
      <c r="F2858" s="5">
        <v>42227</v>
      </c>
      <c r="G2858" s="5">
        <v>54789</v>
      </c>
      <c r="H2858" s="4" t="str">
        <f>""</f>
        <v/>
      </c>
      <c r="I2858" s="4" t="str">
        <f>""</f>
        <v/>
      </c>
    </row>
    <row r="2859" spans="1:9" x14ac:dyDescent="0.3">
      <c r="A2859" s="1" t="str">
        <f>"76"</f>
        <v>76</v>
      </c>
      <c r="B2859" s="4" t="str">
        <f>"ETABLISSEMENTS LALAURIE"</f>
        <v>ETABLISSEMENTS LALAURIE</v>
      </c>
      <c r="C2859" s="4">
        <v>344943816</v>
      </c>
      <c r="D2859" s="3" t="s">
        <v>0</v>
      </c>
      <c r="E2859" s="2" t="str">
        <f>"0005802054"</f>
        <v>0005802054</v>
      </c>
      <c r="F2859" s="5">
        <v>42227</v>
      </c>
      <c r="G2859" s="5">
        <v>54789</v>
      </c>
      <c r="H2859" s="4" t="str">
        <f>""</f>
        <v/>
      </c>
      <c r="I2859" s="4" t="str">
        <f>""</f>
        <v/>
      </c>
    </row>
    <row r="2860" spans="1:9" x14ac:dyDescent="0.3">
      <c r="A2860" s="1" t="str">
        <f>"76"</f>
        <v>76</v>
      </c>
      <c r="B2860" s="4" t="str">
        <f>"EURL BRIFFARD"</f>
        <v>EURL BRIFFARD</v>
      </c>
      <c r="C2860" s="4">
        <v>353675549</v>
      </c>
      <c r="D2860" s="3" t="s">
        <v>0</v>
      </c>
      <c r="E2860" s="2" t="str">
        <f>"PR7600046D"</f>
        <v>PR7600046D</v>
      </c>
      <c r="F2860" s="5">
        <v>42038</v>
      </c>
      <c r="G2860" s="5">
        <v>54789</v>
      </c>
      <c r="H2860" s="4" t="str">
        <f>""</f>
        <v/>
      </c>
      <c r="I2860" s="4" t="str">
        <f>""</f>
        <v/>
      </c>
    </row>
    <row r="2861" spans="1:9" x14ac:dyDescent="0.3">
      <c r="A2861" s="1" t="str">
        <f>"76"</f>
        <v>76</v>
      </c>
      <c r="B2861" s="4" t="str">
        <f>"EURL BRIFFARD"</f>
        <v>EURL BRIFFARD</v>
      </c>
      <c r="C2861" s="4">
        <v>353675549</v>
      </c>
      <c r="D2861" s="3" t="s">
        <v>0</v>
      </c>
      <c r="E2861" s="2" t="str">
        <f>"0005803579"</f>
        <v>0005803579</v>
      </c>
      <c r="F2861" s="5">
        <v>42038</v>
      </c>
      <c r="G2861" s="5">
        <v>54789</v>
      </c>
      <c r="H2861" s="4" t="str">
        <f>""</f>
        <v/>
      </c>
      <c r="I2861" s="4" t="str">
        <f>""</f>
        <v/>
      </c>
    </row>
    <row r="2862" spans="1:9" x14ac:dyDescent="0.3">
      <c r="A2862" s="1" t="str">
        <f>"76"</f>
        <v>76</v>
      </c>
      <c r="B2862" s="4" t="str">
        <f>"UNIFER PORT JEROME"</f>
        <v>UNIFER PORT JEROME</v>
      </c>
      <c r="C2862" s="4">
        <v>377681853</v>
      </c>
      <c r="D2862" s="3" t="s">
        <v>0</v>
      </c>
      <c r="E2862" s="2" t="str">
        <f>"PR7600042D"</f>
        <v>PR7600042D</v>
      </c>
      <c r="F2862" s="5">
        <v>43462</v>
      </c>
      <c r="G2862" s="5">
        <v>54789</v>
      </c>
      <c r="H2862" s="4" t="str">
        <f>""</f>
        <v/>
      </c>
      <c r="I2862" s="4" t="str">
        <f>""</f>
        <v/>
      </c>
    </row>
    <row r="2863" spans="1:9" x14ac:dyDescent="0.3">
      <c r="A2863" s="1" t="str">
        <f>"76"</f>
        <v>76</v>
      </c>
      <c r="B2863" s="4" t="str">
        <f>"UNIFER PORT JEROME"</f>
        <v>UNIFER PORT JEROME</v>
      </c>
      <c r="C2863" s="4">
        <v>377681853</v>
      </c>
      <c r="D2863" s="3" t="s">
        <v>0</v>
      </c>
      <c r="E2863" s="2" t="str">
        <f>"0005801430"</f>
        <v>0005801430</v>
      </c>
      <c r="F2863" s="5">
        <v>43462</v>
      </c>
      <c r="G2863" s="5">
        <v>54789</v>
      </c>
      <c r="H2863" s="4" t="str">
        <f>""</f>
        <v/>
      </c>
      <c r="I2863" s="4" t="str">
        <f>""</f>
        <v/>
      </c>
    </row>
    <row r="2864" spans="1:9" x14ac:dyDescent="0.3">
      <c r="A2864" s="1" t="str">
        <f>"76"</f>
        <v>76</v>
      </c>
      <c r="B2864" s="4" t="str">
        <f>"ROUEN AUTOMOBILES SERVICES"</f>
        <v>ROUEN AUTOMOBILES SERVICES</v>
      </c>
      <c r="C2864" s="4">
        <v>380795724</v>
      </c>
      <c r="D2864" s="3" t="s">
        <v>0</v>
      </c>
      <c r="E2864" s="2" t="str">
        <f>"PR7600007D"</f>
        <v>PR7600007D</v>
      </c>
      <c r="F2864" s="5">
        <v>43189</v>
      </c>
      <c r="G2864" s="5">
        <v>54789</v>
      </c>
      <c r="H2864" s="4" t="str">
        <f>""</f>
        <v/>
      </c>
      <c r="I2864" s="4" t="str">
        <f>""</f>
        <v/>
      </c>
    </row>
    <row r="2865" spans="1:9" x14ac:dyDescent="0.3">
      <c r="A2865" s="1" t="str">
        <f>"76"</f>
        <v>76</v>
      </c>
      <c r="B2865" s="4" t="str">
        <f>"ROUEN AUTOMOBILES SERVICES"</f>
        <v>ROUEN AUTOMOBILES SERVICES</v>
      </c>
      <c r="C2865" s="4">
        <v>380795724</v>
      </c>
      <c r="D2865" s="3" t="s">
        <v>0</v>
      </c>
      <c r="E2865" s="2" t="str">
        <f>"0005802557"</f>
        <v>0005802557</v>
      </c>
      <c r="F2865" s="5">
        <v>43189</v>
      </c>
      <c r="G2865" s="5">
        <v>54789</v>
      </c>
      <c r="H2865" s="4" t="str">
        <f>""</f>
        <v/>
      </c>
      <c r="I2865" s="4" t="str">
        <f>""</f>
        <v/>
      </c>
    </row>
    <row r="2866" spans="1:9" x14ac:dyDescent="0.3">
      <c r="A2866" s="1" t="str">
        <f>"76"</f>
        <v>76</v>
      </c>
      <c r="B2866" s="4" t="str">
        <f>"GALLOO FRANCE"</f>
        <v>GALLOO FRANCE</v>
      </c>
      <c r="C2866" s="4">
        <v>383066602</v>
      </c>
      <c r="D2866" s="3" t="s">
        <v>0</v>
      </c>
      <c r="E2866" s="2" t="str">
        <f>"PR7600023D"</f>
        <v>PR7600023D</v>
      </c>
      <c r="F2866" s="5">
        <v>43446</v>
      </c>
      <c r="G2866" s="5">
        <v>54789</v>
      </c>
      <c r="H2866" s="4" t="str">
        <f>""</f>
        <v/>
      </c>
      <c r="I2866" s="4" t="str">
        <f>""</f>
        <v/>
      </c>
    </row>
    <row r="2867" spans="1:9" x14ac:dyDescent="0.3">
      <c r="A2867" s="1" t="str">
        <f>"76"</f>
        <v>76</v>
      </c>
      <c r="B2867" s="4" t="str">
        <f>"GALLOO FRANCE"</f>
        <v>GALLOO FRANCE</v>
      </c>
      <c r="C2867" s="4">
        <v>383066602</v>
      </c>
      <c r="D2867" s="3" t="s">
        <v>0</v>
      </c>
      <c r="E2867" s="2" t="str">
        <f>"0005802182"</f>
        <v>0005802182</v>
      </c>
      <c r="F2867" s="5">
        <v>43446</v>
      </c>
      <c r="G2867" s="5">
        <v>54789</v>
      </c>
      <c r="H2867" s="4" t="str">
        <f>""</f>
        <v/>
      </c>
      <c r="I2867" s="4" t="str">
        <f>""</f>
        <v/>
      </c>
    </row>
    <row r="2868" spans="1:9" x14ac:dyDescent="0.3">
      <c r="A2868" s="1" t="str">
        <f>"76"</f>
        <v>76</v>
      </c>
      <c r="B2868" s="4" t="str">
        <f>"MONDIAL AUTO"</f>
        <v>MONDIAL AUTO</v>
      </c>
      <c r="C2868" s="4">
        <v>388094229</v>
      </c>
      <c r="D2868" s="3" t="s">
        <v>0</v>
      </c>
      <c r="E2868" s="2" t="str">
        <f>"PR7600017D"</f>
        <v>PR7600017D</v>
      </c>
      <c r="F2868" s="5">
        <v>43238</v>
      </c>
      <c r="G2868" s="5">
        <v>54789</v>
      </c>
      <c r="H2868" s="4" t="str">
        <f>""</f>
        <v/>
      </c>
      <c r="I2868" s="4" t="str">
        <f>""</f>
        <v/>
      </c>
    </row>
    <row r="2869" spans="1:9" x14ac:dyDescent="0.3">
      <c r="A2869" s="1" t="str">
        <f>"76"</f>
        <v>76</v>
      </c>
      <c r="B2869" s="4" t="str">
        <f>"MONDIAL AUTO"</f>
        <v>MONDIAL AUTO</v>
      </c>
      <c r="C2869" s="4">
        <v>388094229</v>
      </c>
      <c r="D2869" s="3" t="s">
        <v>0</v>
      </c>
      <c r="E2869" s="2" t="str">
        <f>"0005801236"</f>
        <v>0005801236</v>
      </c>
      <c r="F2869" s="5">
        <v>43238</v>
      </c>
      <c r="G2869" s="5">
        <v>54789</v>
      </c>
      <c r="H2869" s="4" t="str">
        <f>""</f>
        <v/>
      </c>
      <c r="I2869" s="4" t="str">
        <f>""</f>
        <v/>
      </c>
    </row>
    <row r="2870" spans="1:9" x14ac:dyDescent="0.3">
      <c r="A2870" s="1" t="str">
        <f>"76"</f>
        <v>76</v>
      </c>
      <c r="B2870" s="4" t="str">
        <f>"ABRAFER"</f>
        <v>ABRAFER</v>
      </c>
      <c r="C2870" s="4">
        <v>393129895</v>
      </c>
      <c r="D2870" s="3" t="s">
        <v>0</v>
      </c>
      <c r="E2870" s="2" t="str">
        <f>"PR7600047D"</f>
        <v>PR7600047D</v>
      </c>
      <c r="F2870" s="5">
        <v>42188</v>
      </c>
      <c r="G2870" s="5">
        <v>54789</v>
      </c>
      <c r="H2870" s="4" t="str">
        <f>""</f>
        <v/>
      </c>
      <c r="I2870" s="4" t="str">
        <f>""</f>
        <v/>
      </c>
    </row>
    <row r="2871" spans="1:9" x14ac:dyDescent="0.3">
      <c r="A2871" s="1" t="str">
        <f>"76"</f>
        <v>76</v>
      </c>
      <c r="B2871" s="4" t="str">
        <f>"ABRAFER"</f>
        <v>ABRAFER</v>
      </c>
      <c r="C2871" s="4">
        <v>393129895</v>
      </c>
      <c r="D2871" s="3" t="s">
        <v>0</v>
      </c>
      <c r="E2871" s="2" t="str">
        <f>"0005801269"</f>
        <v>0005801269</v>
      </c>
      <c r="F2871" s="5">
        <v>42188</v>
      </c>
      <c r="G2871" s="5">
        <v>54789</v>
      </c>
      <c r="H2871" s="4" t="str">
        <f>""</f>
        <v/>
      </c>
      <c r="I2871" s="4" t="str">
        <f>""</f>
        <v/>
      </c>
    </row>
    <row r="2872" spans="1:9" x14ac:dyDescent="0.3">
      <c r="A2872" s="1" t="str">
        <f>"76"</f>
        <v>76</v>
      </c>
      <c r="B2872" s="4" t="str">
        <f>"ALLO AUTO SERVICE"</f>
        <v>ALLO AUTO SERVICE</v>
      </c>
      <c r="C2872" s="4">
        <v>403611510</v>
      </c>
      <c r="D2872" s="3" t="s">
        <v>0</v>
      </c>
      <c r="E2872" s="2" t="str">
        <f>"PR7600004D"</f>
        <v>PR7600004D</v>
      </c>
      <c r="F2872" s="5">
        <v>43196</v>
      </c>
      <c r="G2872" s="5">
        <v>54789</v>
      </c>
      <c r="H2872" s="4" t="str">
        <f>""</f>
        <v/>
      </c>
      <c r="I2872" s="4" t="str">
        <f>""</f>
        <v/>
      </c>
    </row>
    <row r="2873" spans="1:9" x14ac:dyDescent="0.3">
      <c r="A2873" s="1" t="str">
        <f>"76"</f>
        <v>76</v>
      </c>
      <c r="B2873" s="4" t="str">
        <f>"ALLO AUTO SERVICE"</f>
        <v>ALLO AUTO SERVICE</v>
      </c>
      <c r="C2873" s="4">
        <v>403611510</v>
      </c>
      <c r="D2873" s="3" t="s">
        <v>0</v>
      </c>
      <c r="E2873" s="2" t="str">
        <f>"0005801133"</f>
        <v>0005801133</v>
      </c>
      <c r="F2873" s="5">
        <v>43196</v>
      </c>
      <c r="G2873" s="5">
        <v>54789</v>
      </c>
      <c r="H2873" s="4" t="str">
        <f>""</f>
        <v/>
      </c>
      <c r="I2873" s="4" t="str">
        <f>""</f>
        <v/>
      </c>
    </row>
    <row r="2874" spans="1:9" x14ac:dyDescent="0.3">
      <c r="A2874" s="1" t="str">
        <f>"76"</f>
        <v>76</v>
      </c>
      <c r="B2874" s="4" t="str">
        <f>"GARAGE POLAERT"</f>
        <v>GARAGE POLAERT</v>
      </c>
      <c r="C2874" s="4">
        <v>421133158</v>
      </c>
      <c r="D2874" s="3" t="s">
        <v>0</v>
      </c>
      <c r="E2874" s="2" t="str">
        <f>"PR7600006D"</f>
        <v>PR7600006D</v>
      </c>
      <c r="F2874" s="5">
        <v>43238</v>
      </c>
      <c r="G2874" s="5">
        <v>54789</v>
      </c>
      <c r="H2874" s="4" t="str">
        <f>""</f>
        <v/>
      </c>
      <c r="I2874" s="4" t="str">
        <f>""</f>
        <v/>
      </c>
    </row>
    <row r="2875" spans="1:9" x14ac:dyDescent="0.3">
      <c r="A2875" s="1" t="str">
        <f>"76"</f>
        <v>76</v>
      </c>
      <c r="B2875" s="4" t="str">
        <f>"GARAGE POLAERT"</f>
        <v>GARAGE POLAERT</v>
      </c>
      <c r="C2875" s="4">
        <v>421133158</v>
      </c>
      <c r="D2875" s="3" t="s">
        <v>0</v>
      </c>
      <c r="E2875" s="2" t="str">
        <f>"0005801153"</f>
        <v>0005801153</v>
      </c>
      <c r="F2875" s="5">
        <v>43238</v>
      </c>
      <c r="G2875" s="5">
        <v>54789</v>
      </c>
      <c r="H2875" s="4" t="str">
        <f>""</f>
        <v/>
      </c>
      <c r="I2875" s="4" t="str">
        <f>""</f>
        <v/>
      </c>
    </row>
    <row r="2876" spans="1:9" x14ac:dyDescent="0.3">
      <c r="A2876" s="1" t="str">
        <f>"76"</f>
        <v>76</v>
      </c>
      <c r="B2876" s="4" t="str">
        <f>"ETS SILLIARD ERIC"</f>
        <v>ETS SILLIARD ERIC</v>
      </c>
      <c r="C2876" s="4">
        <v>430412056</v>
      </c>
      <c r="D2876" s="3" t="s">
        <v>0</v>
      </c>
      <c r="E2876" s="2" t="str">
        <f>"PR7600025D"</f>
        <v>PR7600025D</v>
      </c>
      <c r="F2876" s="5">
        <v>43397</v>
      </c>
      <c r="G2876" s="5">
        <v>54789</v>
      </c>
      <c r="H2876" s="4" t="str">
        <f>""</f>
        <v/>
      </c>
      <c r="I2876" s="4" t="str">
        <f>""</f>
        <v/>
      </c>
    </row>
    <row r="2877" spans="1:9" x14ac:dyDescent="0.3">
      <c r="A2877" s="1" t="str">
        <f>"76"</f>
        <v>76</v>
      </c>
      <c r="B2877" s="4" t="str">
        <f>"ETS SILLIARD ERIC"</f>
        <v>ETS SILLIARD ERIC</v>
      </c>
      <c r="C2877" s="4">
        <v>430412056</v>
      </c>
      <c r="D2877" s="3" t="s">
        <v>0</v>
      </c>
      <c r="E2877" s="2" t="str">
        <f>"0005801810"</f>
        <v>0005801810</v>
      </c>
      <c r="F2877" s="5">
        <v>43397</v>
      </c>
      <c r="G2877" s="5">
        <v>54789</v>
      </c>
      <c r="H2877" s="4" t="str">
        <f>""</f>
        <v/>
      </c>
      <c r="I2877" s="4" t="str">
        <f>""</f>
        <v/>
      </c>
    </row>
    <row r="2878" spans="1:9" x14ac:dyDescent="0.3">
      <c r="A2878" s="1" t="str">
        <f>"76"</f>
        <v>76</v>
      </c>
      <c r="B2878" s="4" t="str">
        <f>"ECO-GARAGE"</f>
        <v>ECO-GARAGE</v>
      </c>
      <c r="C2878" s="4">
        <v>432648376</v>
      </c>
      <c r="D2878" s="3" t="s">
        <v>0</v>
      </c>
      <c r="E2878" s="2" t="str">
        <f>"0005802241"</f>
        <v>0005802241</v>
      </c>
      <c r="F2878" s="5">
        <v>43475</v>
      </c>
      <c r="G2878" s="5">
        <v>54789</v>
      </c>
      <c r="H2878" s="4" t="str">
        <f>""</f>
        <v/>
      </c>
      <c r="I2878" s="4" t="str">
        <f>""</f>
        <v/>
      </c>
    </row>
    <row r="2879" spans="1:9" x14ac:dyDescent="0.3">
      <c r="A2879" s="1" t="str">
        <f>"76"</f>
        <v>76</v>
      </c>
      <c r="B2879" s="4" t="str">
        <f>"GARAGE HERVIEUX"</f>
        <v>GARAGE HERVIEUX</v>
      </c>
      <c r="C2879" s="4">
        <v>433908878</v>
      </c>
      <c r="D2879" s="3" t="s">
        <v>0</v>
      </c>
      <c r="E2879" s="2" t="str">
        <f>"PR7600015D"</f>
        <v>PR7600015D</v>
      </c>
      <c r="F2879" s="5">
        <v>43670</v>
      </c>
      <c r="G2879" s="5">
        <v>54789</v>
      </c>
      <c r="H2879" s="4" t="str">
        <f>""</f>
        <v/>
      </c>
      <c r="I2879" s="4" t="str">
        <f>""</f>
        <v/>
      </c>
    </row>
    <row r="2880" spans="1:9" x14ac:dyDescent="0.3">
      <c r="A2880" s="1" t="str">
        <f>"76"</f>
        <v>76</v>
      </c>
      <c r="B2880" s="4" t="str">
        <f>"GARAGE HERVIEUX"</f>
        <v>GARAGE HERVIEUX</v>
      </c>
      <c r="C2880" s="4">
        <v>433908878</v>
      </c>
      <c r="D2880" s="3" t="s">
        <v>0</v>
      </c>
      <c r="E2880" s="2" t="str">
        <f>"0005801196"</f>
        <v>0005801196</v>
      </c>
      <c r="F2880" s="5">
        <v>43670</v>
      </c>
      <c r="G2880" s="5">
        <v>54789</v>
      </c>
      <c r="H2880" s="4" t="str">
        <f>""</f>
        <v/>
      </c>
      <c r="I2880" s="4" t="str">
        <f>""</f>
        <v/>
      </c>
    </row>
    <row r="2881" spans="1:9" x14ac:dyDescent="0.3">
      <c r="A2881" s="1" t="str">
        <f>"76"</f>
        <v>76</v>
      </c>
      <c r="B2881" s="4" t="str">
        <f>"SARL QUINTIN"</f>
        <v>SARL QUINTIN</v>
      </c>
      <c r="C2881" s="4">
        <v>448394437</v>
      </c>
      <c r="D2881" s="3" t="s">
        <v>0</v>
      </c>
      <c r="E2881" s="2" t="str">
        <f>"PR7600011D"</f>
        <v>PR7600011D</v>
      </c>
      <c r="F2881" s="5">
        <v>43486</v>
      </c>
      <c r="G2881" s="5">
        <v>54789</v>
      </c>
      <c r="H2881" s="4" t="str">
        <f>""</f>
        <v/>
      </c>
      <c r="I2881" s="4" t="str">
        <f>""</f>
        <v/>
      </c>
    </row>
    <row r="2882" spans="1:9" x14ac:dyDescent="0.3">
      <c r="A2882" s="1" t="str">
        <f>"76"</f>
        <v>76</v>
      </c>
      <c r="B2882" s="4" t="str">
        <f>"SARL QUINTIN"</f>
        <v>SARL QUINTIN</v>
      </c>
      <c r="C2882" s="4">
        <v>448394437</v>
      </c>
      <c r="D2882" s="3" t="s">
        <v>0</v>
      </c>
      <c r="E2882" s="2" t="str">
        <f>"0005802477"</f>
        <v>0005802477</v>
      </c>
      <c r="F2882" s="5">
        <v>43486</v>
      </c>
      <c r="G2882" s="5">
        <v>54789</v>
      </c>
      <c r="H2882" s="4" t="str">
        <f>""</f>
        <v/>
      </c>
      <c r="I2882" s="4" t="str">
        <f>""</f>
        <v/>
      </c>
    </row>
    <row r="2883" spans="1:9" x14ac:dyDescent="0.3">
      <c r="A2883" s="1" t="str">
        <f>"76"</f>
        <v>76</v>
      </c>
      <c r="B2883" s="4" t="str">
        <f>"A.B AUTO PIECES"</f>
        <v>A.B AUTO PIECES</v>
      </c>
      <c r="C2883" s="4">
        <v>448650911</v>
      </c>
      <c r="D2883" s="3" t="s">
        <v>0</v>
      </c>
      <c r="E2883" s="2" t="str">
        <f>"PR7600005D"</f>
        <v>PR7600005D</v>
      </c>
      <c r="F2883" s="5">
        <v>43179</v>
      </c>
      <c r="G2883" s="5">
        <v>54789</v>
      </c>
      <c r="H2883" s="4" t="str">
        <f>""</f>
        <v/>
      </c>
      <c r="I2883" s="4" t="str">
        <f>""</f>
        <v/>
      </c>
    </row>
    <row r="2884" spans="1:9" x14ac:dyDescent="0.3">
      <c r="A2884" s="1" t="str">
        <f>"76"</f>
        <v>76</v>
      </c>
      <c r="B2884" s="4" t="str">
        <f>"A.B AUTO PIECES"</f>
        <v>A.B AUTO PIECES</v>
      </c>
      <c r="C2884" s="4">
        <v>448650911</v>
      </c>
      <c r="D2884" s="3" t="s">
        <v>0</v>
      </c>
      <c r="E2884" s="2" t="str">
        <f>"0005801188"</f>
        <v>0005801188</v>
      </c>
      <c r="F2884" s="5">
        <v>43179</v>
      </c>
      <c r="G2884" s="5">
        <v>54789</v>
      </c>
      <c r="H2884" s="4" t="str">
        <f>""</f>
        <v/>
      </c>
      <c r="I2884" s="4" t="str">
        <f>""</f>
        <v/>
      </c>
    </row>
    <row r="2885" spans="1:9" x14ac:dyDescent="0.3">
      <c r="A2885" s="1" t="str">
        <f>"76"</f>
        <v>76</v>
      </c>
      <c r="B2885" s="4" t="str">
        <f>"GARAGE DE LA GARE"</f>
        <v>GARAGE DE LA GARE</v>
      </c>
      <c r="C2885" s="4">
        <v>481265650</v>
      </c>
      <c r="D2885" s="3" t="s">
        <v>0</v>
      </c>
      <c r="E2885" s="2" t="str">
        <f>"PR7600020D"</f>
        <v>PR7600020D</v>
      </c>
      <c r="F2885" s="5">
        <v>43381</v>
      </c>
      <c r="G2885" s="5">
        <v>54789</v>
      </c>
      <c r="H2885" s="4" t="str">
        <f>""</f>
        <v/>
      </c>
      <c r="I2885" s="4" t="str">
        <f>""</f>
        <v/>
      </c>
    </row>
    <row r="2886" spans="1:9" x14ac:dyDescent="0.3">
      <c r="A2886" s="1" t="str">
        <f>"76"</f>
        <v>76</v>
      </c>
      <c r="B2886" s="4" t="str">
        <f>"GARAGE DE LA GARE"</f>
        <v>GARAGE DE LA GARE</v>
      </c>
      <c r="C2886" s="4">
        <v>481265650</v>
      </c>
      <c r="D2886" s="3" t="s">
        <v>0</v>
      </c>
      <c r="E2886" s="2" t="str">
        <f>"0005801156"</f>
        <v>0005801156</v>
      </c>
      <c r="F2886" s="5">
        <v>43381</v>
      </c>
      <c r="G2886" s="5">
        <v>54789</v>
      </c>
      <c r="H2886" s="4" t="str">
        <f>""</f>
        <v/>
      </c>
      <c r="I2886" s="4" t="str">
        <f>""</f>
        <v/>
      </c>
    </row>
    <row r="2887" spans="1:9" x14ac:dyDescent="0.3">
      <c r="A2887" s="1" t="str">
        <f>"76"</f>
        <v>76</v>
      </c>
      <c r="B2887" s="4" t="str">
        <f>"FC AUTO PIECES"</f>
        <v>FC AUTO PIECES</v>
      </c>
      <c r="C2887" s="4">
        <v>483768099</v>
      </c>
      <c r="D2887" s="3" t="s">
        <v>0</v>
      </c>
      <c r="E2887" s="2" t="str">
        <f>"PR7600034D"</f>
        <v>PR7600034D</v>
      </c>
      <c r="F2887" s="5">
        <v>43557</v>
      </c>
      <c r="G2887" s="5">
        <v>54789</v>
      </c>
      <c r="H2887" s="4" t="str">
        <f>""</f>
        <v/>
      </c>
      <c r="I2887" s="4" t="str">
        <f>""</f>
        <v/>
      </c>
    </row>
    <row r="2888" spans="1:9" x14ac:dyDescent="0.3">
      <c r="A2888" s="1" t="str">
        <f>"76"</f>
        <v>76</v>
      </c>
      <c r="B2888" s="4" t="str">
        <f>"FC AUTO PIECES"</f>
        <v>FC AUTO PIECES</v>
      </c>
      <c r="C2888" s="4">
        <v>483768099</v>
      </c>
      <c r="D2888" s="3" t="s">
        <v>0</v>
      </c>
      <c r="E2888" s="2" t="str">
        <f>"0005801073"</f>
        <v>0005801073</v>
      </c>
      <c r="F2888" s="5">
        <v>43557</v>
      </c>
      <c r="G2888" s="5">
        <v>54789</v>
      </c>
      <c r="H2888" s="4" t="str">
        <f>""</f>
        <v/>
      </c>
      <c r="I2888" s="4" t="str">
        <f>""</f>
        <v/>
      </c>
    </row>
    <row r="2889" spans="1:9" x14ac:dyDescent="0.3">
      <c r="A2889" s="1" t="str">
        <f>"76"</f>
        <v>76</v>
      </c>
      <c r="B2889" s="4" t="str">
        <f>"MOMO LA RECUP"</f>
        <v>MOMO LA RECUP</v>
      </c>
      <c r="C2889" s="4">
        <v>489491985</v>
      </c>
      <c r="D2889" s="3" t="s">
        <v>0</v>
      </c>
      <c r="E2889" s="2" t="str">
        <f>"PR7600063D"</f>
        <v>PR7600063D</v>
      </c>
      <c r="F2889" s="5">
        <v>45301</v>
      </c>
      <c r="G2889" s="5">
        <v>54789</v>
      </c>
      <c r="H2889" s="4" t="str">
        <f>""</f>
        <v/>
      </c>
      <c r="I2889" s="4" t="str">
        <f>""</f>
        <v/>
      </c>
    </row>
    <row r="2890" spans="1:9" x14ac:dyDescent="0.3">
      <c r="A2890" s="1" t="str">
        <f>"76"</f>
        <v>76</v>
      </c>
      <c r="B2890" s="4" t="str">
        <f>"MOMO LA RECUP"</f>
        <v>MOMO LA RECUP</v>
      </c>
      <c r="C2890" s="4">
        <v>489491985</v>
      </c>
      <c r="D2890" s="3" t="s">
        <v>0</v>
      </c>
      <c r="E2890" s="2" t="str">
        <f>"0005802558"</f>
        <v>0005802558</v>
      </c>
      <c r="F2890" s="5">
        <v>45301</v>
      </c>
      <c r="G2890" s="5">
        <v>54789</v>
      </c>
      <c r="H2890" s="4" t="str">
        <f>""</f>
        <v/>
      </c>
      <c r="I2890" s="4" t="str">
        <f>""</f>
        <v/>
      </c>
    </row>
    <row r="2891" spans="1:9" x14ac:dyDescent="0.3">
      <c r="A2891" s="1" t="str">
        <f>"76"</f>
        <v>76</v>
      </c>
      <c r="B2891" s="4" t="str">
        <f>"GUELLE FRERES"</f>
        <v>GUELLE FRERES</v>
      </c>
      <c r="C2891" s="4">
        <v>493535603</v>
      </c>
      <c r="D2891" s="3" t="s">
        <v>0</v>
      </c>
      <c r="E2891" s="2" t="str">
        <f>"PR7600009D"</f>
        <v>PR7600009D</v>
      </c>
      <c r="F2891" s="5">
        <v>43258</v>
      </c>
      <c r="G2891" s="5">
        <v>54789</v>
      </c>
      <c r="H2891" s="4" t="str">
        <f>""</f>
        <v/>
      </c>
      <c r="I2891" s="4" t="str">
        <f>""</f>
        <v/>
      </c>
    </row>
    <row r="2892" spans="1:9" x14ac:dyDescent="0.3">
      <c r="A2892" s="1" t="str">
        <f>"76"</f>
        <v>76</v>
      </c>
      <c r="B2892" s="4" t="str">
        <f>"GUELLE FRERES"</f>
        <v>GUELLE FRERES</v>
      </c>
      <c r="C2892" s="4">
        <v>493535603</v>
      </c>
      <c r="D2892" s="3" t="s">
        <v>0</v>
      </c>
      <c r="E2892" s="2" t="str">
        <f>"0005801856"</f>
        <v>0005801856</v>
      </c>
      <c r="F2892" s="5">
        <v>43258</v>
      </c>
      <c r="G2892" s="5">
        <v>54789</v>
      </c>
      <c r="H2892" s="4" t="str">
        <f>""</f>
        <v/>
      </c>
      <c r="I2892" s="4" t="str">
        <f>""</f>
        <v/>
      </c>
    </row>
    <row r="2893" spans="1:9" x14ac:dyDescent="0.3">
      <c r="A2893" s="1" t="str">
        <f>"76"</f>
        <v>76</v>
      </c>
      <c r="B2893" s="4" t="str">
        <f>"GUELLE FRERES"</f>
        <v>GUELLE FRERES</v>
      </c>
      <c r="C2893" s="4">
        <v>493535603</v>
      </c>
      <c r="D2893" s="3" t="s">
        <v>0</v>
      </c>
      <c r="E2893" s="2" t="str">
        <f>"PR7600052D"</f>
        <v>PR7600052D</v>
      </c>
      <c r="F2893" s="5">
        <v>42885</v>
      </c>
      <c r="G2893" s="5">
        <v>54789</v>
      </c>
      <c r="H2893" s="4" t="str">
        <f>""</f>
        <v/>
      </c>
      <c r="I2893" s="4" t="str">
        <f>""</f>
        <v/>
      </c>
    </row>
    <row r="2894" spans="1:9" x14ac:dyDescent="0.3">
      <c r="A2894" s="1" t="str">
        <f>"76"</f>
        <v>76</v>
      </c>
      <c r="B2894" s="4" t="str">
        <f>"GUELLE FRERES"</f>
        <v>GUELLE FRERES</v>
      </c>
      <c r="C2894" s="4">
        <v>493535603</v>
      </c>
      <c r="D2894" s="3" t="s">
        <v>0</v>
      </c>
      <c r="E2894" s="2" t="str">
        <f>"0003901073"</f>
        <v>0003901073</v>
      </c>
      <c r="F2894" s="5">
        <v>42885</v>
      </c>
      <c r="G2894" s="5">
        <v>54789</v>
      </c>
      <c r="H2894" s="4" t="str">
        <f>""</f>
        <v/>
      </c>
      <c r="I2894" s="4" t="str">
        <f>""</f>
        <v/>
      </c>
    </row>
    <row r="2895" spans="1:9" x14ac:dyDescent="0.3">
      <c r="A2895" s="1" t="str">
        <f>"76"</f>
        <v>76</v>
      </c>
      <c r="B2895" s="4" t="str">
        <f>"GARDET ET DE BEZENAC ENVIRONNEMENT"</f>
        <v>GARDET ET DE BEZENAC ENVIRONNEMENT</v>
      </c>
      <c r="C2895" s="4">
        <v>501850374</v>
      </c>
      <c r="D2895" s="3" t="s">
        <v>0</v>
      </c>
      <c r="E2895" s="2" t="str">
        <f>"PR7600043D"</f>
        <v>PR7600043D</v>
      </c>
      <c r="F2895" s="5">
        <v>43385</v>
      </c>
      <c r="G2895" s="5">
        <v>54789</v>
      </c>
      <c r="H2895" s="4" t="str">
        <f>""</f>
        <v/>
      </c>
      <c r="I2895" s="4" t="str">
        <f>""</f>
        <v/>
      </c>
    </row>
    <row r="2896" spans="1:9" x14ac:dyDescent="0.3">
      <c r="A2896" s="1" t="str">
        <f>"76"</f>
        <v>76</v>
      </c>
      <c r="B2896" s="4" t="str">
        <f>"GARDET ET DE BEZENAC ENVIRONNEMENT"</f>
        <v>GARDET ET DE BEZENAC ENVIRONNEMENT</v>
      </c>
      <c r="C2896" s="4">
        <v>501850374</v>
      </c>
      <c r="D2896" s="3" t="s">
        <v>0</v>
      </c>
      <c r="E2896" s="2" t="str">
        <f>"0005805127"</f>
        <v>0005805127</v>
      </c>
      <c r="F2896" s="5">
        <v>43385</v>
      </c>
      <c r="G2896" s="5">
        <v>54789</v>
      </c>
      <c r="H2896" s="4" t="str">
        <f>""</f>
        <v/>
      </c>
      <c r="I2896" s="4" t="str">
        <f>""</f>
        <v/>
      </c>
    </row>
    <row r="2897" spans="1:9" x14ac:dyDescent="0.3">
      <c r="A2897" s="1" t="str">
        <f>"76"</f>
        <v>76</v>
      </c>
      <c r="B2897" s="4" t="str">
        <f>"GARDET ET DE BEZENAC ENVIRONNEMENT"</f>
        <v>GARDET ET DE BEZENAC ENVIRONNEMENT</v>
      </c>
      <c r="C2897" s="4">
        <v>501850374</v>
      </c>
      <c r="D2897" s="3" t="s">
        <v>0</v>
      </c>
      <c r="E2897" s="2" t="str">
        <f>"PR7600051D"</f>
        <v>PR7600051D</v>
      </c>
      <c r="F2897" s="5">
        <v>42835</v>
      </c>
      <c r="G2897" s="5">
        <v>54789</v>
      </c>
      <c r="H2897" s="4" t="str">
        <f>""</f>
        <v/>
      </c>
      <c r="I2897" s="4" t="str">
        <f>""</f>
        <v/>
      </c>
    </row>
    <row r="2898" spans="1:9" x14ac:dyDescent="0.3">
      <c r="A2898" s="1" t="str">
        <f>"76"</f>
        <v>76</v>
      </c>
      <c r="B2898" s="4" t="str">
        <f>"GARDET ET DE BEZENAC ENVIRONNEMENT"</f>
        <v>GARDET ET DE BEZENAC ENVIRONNEMENT</v>
      </c>
      <c r="C2898" s="4">
        <v>501850374</v>
      </c>
      <c r="D2898" s="3" t="s">
        <v>0</v>
      </c>
      <c r="E2898" s="2" t="str">
        <f>"0005802504"</f>
        <v>0005802504</v>
      </c>
      <c r="F2898" s="5">
        <v>42835</v>
      </c>
      <c r="G2898" s="5">
        <v>54789</v>
      </c>
      <c r="H2898" s="4" t="str">
        <f>""</f>
        <v/>
      </c>
      <c r="I2898" s="4" t="str">
        <f>""</f>
        <v/>
      </c>
    </row>
    <row r="2899" spans="1:9" x14ac:dyDescent="0.3">
      <c r="A2899" s="1" t="str">
        <f>"76"</f>
        <v>76</v>
      </c>
      <c r="B2899" s="4" t="str">
        <f>"BUQUET AUTO PIECES"</f>
        <v>BUQUET AUTO PIECES</v>
      </c>
      <c r="C2899" s="4">
        <v>504350158</v>
      </c>
      <c r="D2899" s="3" t="s">
        <v>0</v>
      </c>
      <c r="E2899" s="2" t="str">
        <f>"PR7600058D"</f>
        <v>PR7600058D</v>
      </c>
      <c r="F2899" s="5">
        <v>44187</v>
      </c>
      <c r="G2899" s="5">
        <v>54789</v>
      </c>
      <c r="H2899" s="4" t="str">
        <f>""</f>
        <v/>
      </c>
      <c r="I2899" s="4" t="str">
        <f>""</f>
        <v/>
      </c>
    </row>
    <row r="2900" spans="1:9" x14ac:dyDescent="0.3">
      <c r="A2900" s="1" t="str">
        <f>"76"</f>
        <v>76</v>
      </c>
      <c r="B2900" s="4" t="str">
        <f>"BUQUET AUTO PIECES"</f>
        <v>BUQUET AUTO PIECES</v>
      </c>
      <c r="C2900" s="4">
        <v>504350158</v>
      </c>
      <c r="D2900" s="3" t="s">
        <v>0</v>
      </c>
      <c r="E2900" s="2" t="str">
        <f>"0005801365"</f>
        <v>0005801365</v>
      </c>
      <c r="F2900" s="5">
        <v>44187</v>
      </c>
      <c r="G2900" s="5">
        <v>54789</v>
      </c>
      <c r="H2900" s="4" t="str">
        <f>""</f>
        <v/>
      </c>
      <c r="I2900" s="4" t="str">
        <f>""</f>
        <v/>
      </c>
    </row>
    <row r="2901" spans="1:9" x14ac:dyDescent="0.3">
      <c r="A2901" s="1" t="str">
        <f>"76"</f>
        <v>76</v>
      </c>
      <c r="B2901" s="4" t="str">
        <f>"REVIVAL"</f>
        <v>REVIVAL</v>
      </c>
      <c r="C2901" s="4">
        <v>616620092</v>
      </c>
      <c r="D2901" s="3" t="s">
        <v>0</v>
      </c>
      <c r="E2901" s="2" t="str">
        <f>"PR7600064D"</f>
        <v>PR7600064D</v>
      </c>
      <c r="F2901" s="5">
        <v>45442</v>
      </c>
      <c r="G2901" s="5">
        <v>54789</v>
      </c>
      <c r="H2901" s="4" t="str">
        <f>""</f>
        <v/>
      </c>
      <c r="I2901" s="4" t="str">
        <f>""</f>
        <v/>
      </c>
    </row>
    <row r="2902" spans="1:9" x14ac:dyDescent="0.3">
      <c r="A2902" s="1" t="str">
        <f>"76"</f>
        <v>76</v>
      </c>
      <c r="B2902" s="4" t="str">
        <f>"REVIVAL"</f>
        <v>REVIVAL</v>
      </c>
      <c r="C2902" s="4">
        <v>616620092</v>
      </c>
      <c r="D2902" s="3" t="s">
        <v>0</v>
      </c>
      <c r="E2902" s="2" t="str">
        <f>"0005801233"</f>
        <v>0005801233</v>
      </c>
      <c r="F2902" s="5">
        <v>45442</v>
      </c>
      <c r="G2902" s="5">
        <v>54789</v>
      </c>
      <c r="H2902" s="4" t="str">
        <f>""</f>
        <v/>
      </c>
      <c r="I2902" s="4" t="str">
        <f>""</f>
        <v/>
      </c>
    </row>
    <row r="2903" spans="1:9" x14ac:dyDescent="0.3">
      <c r="A2903" s="1" t="str">
        <f>"76"</f>
        <v>76</v>
      </c>
      <c r="B2903" s="4" t="str">
        <f>"REVIVAL SA"</f>
        <v>REVIVAL SA</v>
      </c>
      <c r="C2903" s="4">
        <v>616620092</v>
      </c>
      <c r="D2903" s="3" t="s">
        <v>0</v>
      </c>
      <c r="E2903" s="2" t="str">
        <f>"PR7600038D"</f>
        <v>PR7600038D</v>
      </c>
      <c r="F2903" s="5">
        <v>42090</v>
      </c>
      <c r="G2903" s="5">
        <v>54789</v>
      </c>
      <c r="H2903" s="4" t="str">
        <f>""</f>
        <v/>
      </c>
      <c r="I2903" s="4" t="str">
        <f>""</f>
        <v/>
      </c>
    </row>
    <row r="2904" spans="1:9" x14ac:dyDescent="0.3">
      <c r="A2904" s="1" t="str">
        <f>"76"</f>
        <v>76</v>
      </c>
      <c r="B2904" s="4" t="str">
        <f>"REVIVAL SA"</f>
        <v>REVIVAL SA</v>
      </c>
      <c r="C2904" s="4">
        <v>616620092</v>
      </c>
      <c r="D2904" s="3" t="s">
        <v>0</v>
      </c>
      <c r="E2904" s="2" t="str">
        <f>"0005802129"</f>
        <v>0005802129</v>
      </c>
      <c r="F2904" s="5">
        <v>42090</v>
      </c>
      <c r="G2904" s="5">
        <v>54789</v>
      </c>
      <c r="H2904" s="4" t="str">
        <f>""</f>
        <v/>
      </c>
      <c r="I2904" s="4" t="str">
        <f>""</f>
        <v/>
      </c>
    </row>
    <row r="2905" spans="1:9" x14ac:dyDescent="0.3">
      <c r="A2905" s="1" t="str">
        <f>"76"</f>
        <v>76</v>
      </c>
      <c r="B2905" s="4" t="str">
        <f>"EURL MAGREN"</f>
        <v>EURL MAGREN</v>
      </c>
      <c r="C2905" s="4">
        <v>640501193</v>
      </c>
      <c r="D2905" s="3" t="s">
        <v>0</v>
      </c>
      <c r="E2905" s="2" t="str">
        <f>"PR7600010D"</f>
        <v>PR7600010D</v>
      </c>
      <c r="F2905" s="5">
        <v>43276</v>
      </c>
      <c r="G2905" s="5">
        <v>54789</v>
      </c>
      <c r="H2905" s="4" t="str">
        <f>""</f>
        <v/>
      </c>
      <c r="I2905" s="4" t="str">
        <f>""</f>
        <v/>
      </c>
    </row>
    <row r="2906" spans="1:9" x14ac:dyDescent="0.3">
      <c r="A2906" s="1" t="str">
        <f>"76"</f>
        <v>76</v>
      </c>
      <c r="B2906" s="4" t="str">
        <f>"EURL MAGREN"</f>
        <v>EURL MAGREN</v>
      </c>
      <c r="C2906" s="4">
        <v>640501193</v>
      </c>
      <c r="D2906" s="3" t="s">
        <v>0</v>
      </c>
      <c r="E2906" s="2" t="str">
        <f>"0005802382"</f>
        <v>0005802382</v>
      </c>
      <c r="F2906" s="5">
        <v>43276</v>
      </c>
      <c r="G2906" s="5">
        <v>54789</v>
      </c>
      <c r="H2906" s="4" t="str">
        <f>""</f>
        <v/>
      </c>
      <c r="I2906" s="4" t="str">
        <f>""</f>
        <v/>
      </c>
    </row>
    <row r="2907" spans="1:9" x14ac:dyDescent="0.3">
      <c r="A2907" s="1" t="str">
        <f>"76"</f>
        <v>76</v>
      </c>
      <c r="B2907" s="4" t="str">
        <f>"EURL MAGREN"</f>
        <v>EURL MAGREN</v>
      </c>
      <c r="C2907" s="4">
        <v>640501193</v>
      </c>
      <c r="D2907" s="3" t="s">
        <v>0</v>
      </c>
      <c r="E2907" s="2" t="str">
        <f>"PR7600059D"</f>
        <v>PR7600059D</v>
      </c>
      <c r="F2907" s="5">
        <v>44397</v>
      </c>
      <c r="G2907" s="5">
        <v>54789</v>
      </c>
      <c r="H2907" s="4" t="str">
        <f>""</f>
        <v/>
      </c>
      <c r="I2907" s="4" t="str">
        <f>""</f>
        <v/>
      </c>
    </row>
    <row r="2908" spans="1:9" x14ac:dyDescent="0.3">
      <c r="A2908" s="1" t="str">
        <f>"76"</f>
        <v>76</v>
      </c>
      <c r="B2908" s="4" t="str">
        <f>"EURL MAGREN"</f>
        <v>EURL MAGREN</v>
      </c>
      <c r="C2908" s="4">
        <v>640501193</v>
      </c>
      <c r="D2908" s="3" t="s">
        <v>0</v>
      </c>
      <c r="E2908" s="2" t="str">
        <f>"0005801605"</f>
        <v>0005801605</v>
      </c>
      <c r="F2908" s="5">
        <v>44397</v>
      </c>
      <c r="G2908" s="5">
        <v>54789</v>
      </c>
      <c r="H2908" s="4" t="str">
        <f>""</f>
        <v/>
      </c>
      <c r="I2908" s="4" t="str">
        <f>""</f>
        <v/>
      </c>
    </row>
    <row r="2909" spans="1:9" x14ac:dyDescent="0.3">
      <c r="A2909" s="1" t="str">
        <f>"76"</f>
        <v>76</v>
      </c>
      <c r="B2909" s="4" t="str">
        <f>"LCJ D'HONT RECUPERATION"</f>
        <v>LCJ D'HONT RECUPERATION</v>
      </c>
      <c r="C2909" s="4">
        <v>750102378</v>
      </c>
      <c r="D2909" s="3" t="s">
        <v>0</v>
      </c>
      <c r="E2909" s="2" t="str">
        <f>"PR7600012D"</f>
        <v>PR7600012D</v>
      </c>
      <c r="F2909" s="5">
        <v>43385</v>
      </c>
      <c r="G2909" s="5">
        <v>54789</v>
      </c>
      <c r="H2909" s="4" t="str">
        <f>""</f>
        <v/>
      </c>
      <c r="I2909" s="4" t="str">
        <f>""</f>
        <v/>
      </c>
    </row>
    <row r="2910" spans="1:9" x14ac:dyDescent="0.3">
      <c r="A2910" s="1" t="str">
        <f>"76"</f>
        <v>76</v>
      </c>
      <c r="B2910" s="4" t="str">
        <f>"LCJ D'HONT RECUPERATION"</f>
        <v>LCJ D'HONT RECUPERATION</v>
      </c>
      <c r="C2910" s="4">
        <v>750102378</v>
      </c>
      <c r="D2910" s="3" t="s">
        <v>0</v>
      </c>
      <c r="E2910" s="2" t="str">
        <f>"0005801497"</f>
        <v>0005801497</v>
      </c>
      <c r="F2910" s="5">
        <v>43385</v>
      </c>
      <c r="G2910" s="5">
        <v>54789</v>
      </c>
      <c r="H2910" s="4" t="str">
        <f>""</f>
        <v/>
      </c>
      <c r="I2910" s="4" t="str">
        <f>""</f>
        <v/>
      </c>
    </row>
    <row r="2911" spans="1:9" x14ac:dyDescent="0.3">
      <c r="A2911" s="1" t="str">
        <f>"76"</f>
        <v>76</v>
      </c>
      <c r="B2911" s="4" t="str">
        <f>"LAURENT DEPANNAUTOS SERVICES 76"</f>
        <v>LAURENT DEPANNAUTOS SERVICES 76</v>
      </c>
      <c r="C2911" s="4">
        <v>793530718</v>
      </c>
      <c r="D2911" s="3" t="s">
        <v>0</v>
      </c>
      <c r="E2911" s="2" t="str">
        <f>"PR7600045D"</f>
        <v>PR7600045D</v>
      </c>
      <c r="F2911" s="5">
        <v>41974</v>
      </c>
      <c r="G2911" s="5">
        <v>54789</v>
      </c>
      <c r="H2911" s="4" t="str">
        <f>""</f>
        <v/>
      </c>
      <c r="I2911" s="4" t="str">
        <f>""</f>
        <v/>
      </c>
    </row>
    <row r="2912" spans="1:9" x14ac:dyDescent="0.3">
      <c r="A2912" s="1" t="str">
        <f>"76"</f>
        <v>76</v>
      </c>
      <c r="B2912" s="4" t="str">
        <f>"LAURENT DEPANNAUTOS SERVICES 76"</f>
        <v>LAURENT DEPANNAUTOS SERVICES 76</v>
      </c>
      <c r="C2912" s="4">
        <v>793530718</v>
      </c>
      <c r="D2912" s="3" t="s">
        <v>0</v>
      </c>
      <c r="E2912" s="2" t="str">
        <f>"0005805769"</f>
        <v>0005805769</v>
      </c>
      <c r="F2912" s="5">
        <v>41974</v>
      </c>
      <c r="G2912" s="5">
        <v>54789</v>
      </c>
      <c r="H2912" s="4" t="str">
        <f>""</f>
        <v/>
      </c>
      <c r="I2912" s="4" t="str">
        <f>""</f>
        <v/>
      </c>
    </row>
    <row r="2913" spans="1:9" x14ac:dyDescent="0.3">
      <c r="A2913" s="1" t="str">
        <f>"76"</f>
        <v>76</v>
      </c>
      <c r="B2913" s="4" t="str">
        <f>"SARL KOLENO PASCAL"</f>
        <v>SARL KOLENO PASCAL</v>
      </c>
      <c r="C2913" s="4">
        <v>807652615</v>
      </c>
      <c r="D2913" s="3" t="s">
        <v>0</v>
      </c>
      <c r="E2913" s="2" t="str">
        <f>"PR7600048D"</f>
        <v>PR7600048D</v>
      </c>
      <c r="F2913" s="5">
        <v>42276</v>
      </c>
      <c r="G2913" s="5">
        <v>54789</v>
      </c>
      <c r="H2913" s="4" t="str">
        <f>""</f>
        <v/>
      </c>
      <c r="I2913" s="4" t="str">
        <f>""</f>
        <v/>
      </c>
    </row>
    <row r="2914" spans="1:9" x14ac:dyDescent="0.3">
      <c r="A2914" s="1" t="str">
        <f>"76"</f>
        <v>76</v>
      </c>
      <c r="B2914" s="4" t="str">
        <f>"SARL KOLENO PASCAL"</f>
        <v>SARL KOLENO PASCAL</v>
      </c>
      <c r="C2914" s="4">
        <v>807652615</v>
      </c>
      <c r="D2914" s="3" t="s">
        <v>0</v>
      </c>
      <c r="E2914" s="2" t="str">
        <f>"0005806039"</f>
        <v>0005806039</v>
      </c>
      <c r="F2914" s="5">
        <v>42276</v>
      </c>
      <c r="G2914" s="5">
        <v>54789</v>
      </c>
      <c r="H2914" s="4" t="str">
        <f>""</f>
        <v/>
      </c>
      <c r="I2914" s="4" t="str">
        <f>""</f>
        <v/>
      </c>
    </row>
    <row r="2915" spans="1:9" x14ac:dyDescent="0.3">
      <c r="A2915" s="1" t="str">
        <f>"76"</f>
        <v>76</v>
      </c>
      <c r="B2915" s="4" t="str">
        <f>"METOFER RECYCLING"</f>
        <v>METOFER RECYCLING</v>
      </c>
      <c r="C2915" s="4">
        <v>814909974</v>
      </c>
      <c r="D2915" s="3" t="s">
        <v>0</v>
      </c>
      <c r="E2915" s="2" t="str">
        <f>"PR7600055D"</f>
        <v>PR7600055D</v>
      </c>
      <c r="F2915" s="5">
        <v>43488</v>
      </c>
      <c r="G2915" s="5">
        <v>54789</v>
      </c>
      <c r="H2915" s="4" t="str">
        <f>""</f>
        <v/>
      </c>
      <c r="I2915" s="4" t="str">
        <f>""</f>
        <v/>
      </c>
    </row>
    <row r="2916" spans="1:9" x14ac:dyDescent="0.3">
      <c r="A2916" s="1" t="str">
        <f>"76"</f>
        <v>76</v>
      </c>
      <c r="B2916" s="4" t="str">
        <f>"METOFER RECYCLING"</f>
        <v>METOFER RECYCLING</v>
      </c>
      <c r="C2916" s="4">
        <v>814909974</v>
      </c>
      <c r="D2916" s="3" t="s">
        <v>0</v>
      </c>
      <c r="E2916" s="2" t="str">
        <f>"0005801599"</f>
        <v>0005801599</v>
      </c>
      <c r="F2916" s="5">
        <v>43488</v>
      </c>
      <c r="G2916" s="5">
        <v>54789</v>
      </c>
      <c r="H2916" s="4" t="str">
        <f>""</f>
        <v/>
      </c>
      <c r="I2916" s="4" t="str">
        <f>""</f>
        <v/>
      </c>
    </row>
    <row r="2917" spans="1:9" x14ac:dyDescent="0.3">
      <c r="A2917" s="1" t="str">
        <f>"76"</f>
        <v>76</v>
      </c>
      <c r="B2917" s="4" t="str">
        <f>"MI AUTOS"</f>
        <v>MI AUTOS</v>
      </c>
      <c r="C2917" s="4">
        <v>818523110</v>
      </c>
      <c r="D2917" s="3" t="s">
        <v>0</v>
      </c>
      <c r="E2917" s="2" t="str">
        <f>"PR7600054D"</f>
        <v>PR7600054D</v>
      </c>
      <c r="F2917" s="5">
        <v>43454</v>
      </c>
      <c r="G2917" s="5">
        <v>54789</v>
      </c>
      <c r="H2917" s="4" t="str">
        <f>""</f>
        <v/>
      </c>
      <c r="I2917" s="4" t="str">
        <f>""</f>
        <v/>
      </c>
    </row>
    <row r="2918" spans="1:9" x14ac:dyDescent="0.3">
      <c r="A2918" s="1" t="str">
        <f>"76"</f>
        <v>76</v>
      </c>
      <c r="B2918" s="4" t="str">
        <f>"MI AUTOS"</f>
        <v>MI AUTOS</v>
      </c>
      <c r="C2918" s="4">
        <v>818523110</v>
      </c>
      <c r="D2918" s="3" t="s">
        <v>0</v>
      </c>
      <c r="E2918" s="2" t="str">
        <f>"0005802886"</f>
        <v>0005802886</v>
      </c>
      <c r="F2918" s="5">
        <v>43454</v>
      </c>
      <c r="G2918" s="5">
        <v>54789</v>
      </c>
      <c r="H2918" s="4" t="str">
        <f>""</f>
        <v/>
      </c>
      <c r="I2918" s="4" t="str">
        <f>""</f>
        <v/>
      </c>
    </row>
    <row r="2919" spans="1:9" x14ac:dyDescent="0.3">
      <c r="A2919" s="1" t="str">
        <f>"76"</f>
        <v>76</v>
      </c>
      <c r="B2919" s="4" t="str">
        <f>"CRASH AUTO PIECES"</f>
        <v>CRASH AUTO PIECES</v>
      </c>
      <c r="C2919" s="4">
        <v>820623163</v>
      </c>
      <c r="D2919" s="3" t="s">
        <v>0</v>
      </c>
      <c r="E2919" s="2" t="str">
        <f>"PR7600050D"</f>
        <v>PR7600050D</v>
      </c>
      <c r="F2919" s="5">
        <v>42871</v>
      </c>
      <c r="G2919" s="5">
        <v>54789</v>
      </c>
      <c r="H2919" s="4" t="str">
        <f>""</f>
        <v/>
      </c>
      <c r="I2919" s="4" t="str">
        <f>""</f>
        <v/>
      </c>
    </row>
    <row r="2920" spans="1:9" x14ac:dyDescent="0.3">
      <c r="A2920" s="1" t="str">
        <f>"76"</f>
        <v>76</v>
      </c>
      <c r="B2920" s="4" t="str">
        <f>"CRASH AUTO PIECES"</f>
        <v>CRASH AUTO PIECES</v>
      </c>
      <c r="C2920" s="4">
        <v>820623163</v>
      </c>
      <c r="D2920" s="3" t="s">
        <v>0</v>
      </c>
      <c r="E2920" s="2" t="str">
        <f>"0005801703"</f>
        <v>0005801703</v>
      </c>
      <c r="F2920" s="5">
        <v>42871</v>
      </c>
      <c r="G2920" s="5">
        <v>54789</v>
      </c>
      <c r="H2920" s="4" t="str">
        <f>""</f>
        <v/>
      </c>
      <c r="I2920" s="4" t="str">
        <f>""</f>
        <v/>
      </c>
    </row>
    <row r="2921" spans="1:9" x14ac:dyDescent="0.3">
      <c r="A2921" s="1" t="str">
        <f>"76"</f>
        <v>76</v>
      </c>
      <c r="B2921" s="4" t="str">
        <f>"MONVILLE AUTO"</f>
        <v>MONVILLE AUTO</v>
      </c>
      <c r="C2921" s="4">
        <v>839833027</v>
      </c>
      <c r="D2921" s="3" t="s">
        <v>0</v>
      </c>
      <c r="E2921" s="2" t="str">
        <f>"PR7600056D"</f>
        <v>PR7600056D</v>
      </c>
      <c r="F2921" s="5">
        <v>43567</v>
      </c>
      <c r="G2921" s="5">
        <v>54789</v>
      </c>
      <c r="H2921" s="4" t="str">
        <f>""</f>
        <v/>
      </c>
      <c r="I2921" s="4" t="str">
        <f>""</f>
        <v/>
      </c>
    </row>
    <row r="2922" spans="1:9" x14ac:dyDescent="0.3">
      <c r="A2922" s="1" t="str">
        <f>"76"</f>
        <v>76</v>
      </c>
      <c r="B2922" s="4" t="str">
        <f>"MONVILLE AUTO"</f>
        <v>MONVILLE AUTO</v>
      </c>
      <c r="C2922" s="4">
        <v>839833027</v>
      </c>
      <c r="D2922" s="3" t="s">
        <v>0</v>
      </c>
      <c r="E2922" s="2" t="str">
        <f>"0005802526"</f>
        <v>0005802526</v>
      </c>
      <c r="F2922" s="5">
        <v>43567</v>
      </c>
      <c r="G2922" s="5">
        <v>54789</v>
      </c>
      <c r="H2922" s="4" t="str">
        <f>""</f>
        <v/>
      </c>
      <c r="I2922" s="4" t="str">
        <f>""</f>
        <v/>
      </c>
    </row>
    <row r="2923" spans="1:9" x14ac:dyDescent="0.3">
      <c r="A2923" s="1" t="str">
        <f>"76"</f>
        <v>76</v>
      </c>
      <c r="B2923" s="4" t="str">
        <f>"POLE AUTO V.L"</f>
        <v>POLE AUTO V.L</v>
      </c>
      <c r="C2923" s="4">
        <v>841541089</v>
      </c>
      <c r="D2923" s="3" t="s">
        <v>0</v>
      </c>
      <c r="E2923" s="2" t="str">
        <f>"PR7600021D"</f>
        <v>PR7600021D</v>
      </c>
      <c r="F2923" s="5">
        <v>43880</v>
      </c>
      <c r="G2923" s="5">
        <v>54789</v>
      </c>
      <c r="H2923" s="4" t="str">
        <f>""</f>
        <v/>
      </c>
      <c r="I2923" s="4" t="str">
        <f>""</f>
        <v/>
      </c>
    </row>
    <row r="2924" spans="1:9" x14ac:dyDescent="0.3">
      <c r="A2924" s="1" t="str">
        <f>"76"</f>
        <v>76</v>
      </c>
      <c r="B2924" s="4" t="str">
        <f>"POLE AUTO V.L"</f>
        <v>POLE AUTO V.L</v>
      </c>
      <c r="C2924" s="4">
        <v>841541089</v>
      </c>
      <c r="D2924" s="3" t="s">
        <v>0</v>
      </c>
      <c r="E2924" s="2" t="str">
        <f>"0005802140"</f>
        <v>0005802140</v>
      </c>
      <c r="F2924" s="5">
        <v>43880</v>
      </c>
      <c r="G2924" s="5">
        <v>54789</v>
      </c>
      <c r="H2924" s="4" t="str">
        <f>""</f>
        <v/>
      </c>
      <c r="I2924" s="4" t="str">
        <f>""</f>
        <v/>
      </c>
    </row>
    <row r="2925" spans="1:9" x14ac:dyDescent="0.3">
      <c r="A2925" s="1" t="str">
        <f>"76"</f>
        <v>76</v>
      </c>
      <c r="B2925" s="4" t="str">
        <f>"DEMOLITION EXPERT"</f>
        <v>DEMOLITION EXPERT</v>
      </c>
      <c r="C2925" s="4">
        <v>851989418</v>
      </c>
      <c r="D2925" s="3" t="s">
        <v>0</v>
      </c>
      <c r="E2925" s="2" t="str">
        <f>"PR7600057D"</f>
        <v>PR7600057D</v>
      </c>
      <c r="F2925" s="5">
        <v>44085</v>
      </c>
      <c r="G2925" s="5">
        <v>54789</v>
      </c>
      <c r="H2925" s="4" t="str">
        <f>""</f>
        <v/>
      </c>
      <c r="I2925" s="4" t="str">
        <f>""</f>
        <v/>
      </c>
    </row>
    <row r="2926" spans="1:9" x14ac:dyDescent="0.3">
      <c r="A2926" s="1" t="str">
        <f>"76"</f>
        <v>76</v>
      </c>
      <c r="B2926" s="4" t="str">
        <f>"DEMOLITION EXPERT"</f>
        <v>DEMOLITION EXPERT</v>
      </c>
      <c r="C2926" s="4">
        <v>851989418</v>
      </c>
      <c r="D2926" s="3" t="s">
        <v>0</v>
      </c>
      <c r="E2926" s="2" t="str">
        <f>"0005803847"</f>
        <v>0005803847</v>
      </c>
      <c r="F2926" s="5">
        <v>44085</v>
      </c>
      <c r="G2926" s="5">
        <v>54789</v>
      </c>
      <c r="H2926" s="4" t="str">
        <f>""</f>
        <v/>
      </c>
      <c r="I2926" s="4" t="str">
        <f>""</f>
        <v/>
      </c>
    </row>
    <row r="2927" spans="1:9" x14ac:dyDescent="0.3">
      <c r="A2927" s="1" t="str">
        <f>"76"</f>
        <v>76</v>
      </c>
      <c r="B2927" s="4" t="str">
        <f>"DM ET RECYCLAGES"</f>
        <v>DM ET RECYCLAGES</v>
      </c>
      <c r="C2927" s="4">
        <v>888758497</v>
      </c>
      <c r="D2927" s="3" t="s">
        <v>0</v>
      </c>
      <c r="E2927" s="2" t="str">
        <f>"PR7600060D"</f>
        <v>PR7600060D</v>
      </c>
      <c r="F2927" s="5">
        <v>44470</v>
      </c>
      <c r="G2927" s="5">
        <v>54789</v>
      </c>
      <c r="H2927" s="4" t="str">
        <f>""</f>
        <v/>
      </c>
      <c r="I2927" s="4" t="str">
        <f>""</f>
        <v/>
      </c>
    </row>
    <row r="2928" spans="1:9" x14ac:dyDescent="0.3">
      <c r="A2928" s="1" t="str">
        <f>"76"</f>
        <v>76</v>
      </c>
      <c r="B2928" s="4" t="str">
        <f>"DM ET RECYCLAGES"</f>
        <v>DM ET RECYCLAGES</v>
      </c>
      <c r="C2928" s="4">
        <v>888758497</v>
      </c>
      <c r="D2928" s="3" t="s">
        <v>0</v>
      </c>
      <c r="E2928" s="2" t="str">
        <f>"0003902112"</f>
        <v>0003902112</v>
      </c>
      <c r="F2928" s="5">
        <v>44470</v>
      </c>
      <c r="G2928" s="5">
        <v>54789</v>
      </c>
      <c r="H2928" s="4" t="str">
        <f>""</f>
        <v/>
      </c>
      <c r="I2928" s="4" t="str">
        <f>""</f>
        <v/>
      </c>
    </row>
    <row r="2929" spans="1:9" x14ac:dyDescent="0.3">
      <c r="A2929" s="1" t="str">
        <f>"76"</f>
        <v>76</v>
      </c>
      <c r="B2929" s="4" t="str">
        <f>"V RECYCLAGE"</f>
        <v>V RECYCLAGE</v>
      </c>
      <c r="C2929" s="4">
        <v>921800835</v>
      </c>
      <c r="D2929" s="3" t="s">
        <v>0</v>
      </c>
      <c r="E2929" s="2" t="str">
        <f>"0005805718"</f>
        <v>0005805718</v>
      </c>
      <c r="F2929" s="5">
        <v>45027</v>
      </c>
      <c r="G2929" s="5">
        <v>54789</v>
      </c>
      <c r="H2929" s="4" t="str">
        <f>""</f>
        <v/>
      </c>
      <c r="I2929" s="4" t="str">
        <f>""</f>
        <v/>
      </c>
    </row>
    <row r="2930" spans="1:9" x14ac:dyDescent="0.3">
      <c r="A2930" s="1" t="str">
        <f>"76"</f>
        <v>76</v>
      </c>
      <c r="B2930" s="4" t="str">
        <f>"V RECYCLAGE"</f>
        <v>V RECYCLAGE</v>
      </c>
      <c r="C2930" s="4">
        <v>921800835</v>
      </c>
      <c r="D2930" s="3" t="s">
        <v>0</v>
      </c>
      <c r="E2930" s="2" t="str">
        <f>"PR7600062D"</f>
        <v>PR7600062D</v>
      </c>
      <c r="F2930" s="5">
        <v>45027</v>
      </c>
      <c r="G2930" s="5">
        <v>54789</v>
      </c>
      <c r="H2930" s="4" t="str">
        <f>""</f>
        <v/>
      </c>
      <c r="I2930" s="4" t="str">
        <f>""</f>
        <v/>
      </c>
    </row>
    <row r="2931" spans="1:9" x14ac:dyDescent="0.3">
      <c r="A2931" s="1" t="str">
        <f>"76"</f>
        <v>76</v>
      </c>
      <c r="B2931" s="4" t="str">
        <f>"COPA SAS LMB"</f>
        <v>COPA SAS LMB</v>
      </c>
      <c r="C2931" s="4">
        <v>952161149</v>
      </c>
      <c r="D2931" s="3" t="s">
        <v>0</v>
      </c>
      <c r="E2931" s="2" t="str">
        <f>"PR7600003D"</f>
        <v>PR7600003D</v>
      </c>
      <c r="F2931" s="5">
        <v>45821</v>
      </c>
      <c r="G2931" s="5">
        <v>54789</v>
      </c>
      <c r="H2931" s="4" t="str">
        <f>""</f>
        <v/>
      </c>
      <c r="I2931" s="4" t="str">
        <f>""</f>
        <v/>
      </c>
    </row>
    <row r="2932" spans="1:9" x14ac:dyDescent="0.3">
      <c r="A2932" s="1" t="str">
        <f>"76"</f>
        <v>76</v>
      </c>
      <c r="B2932" s="4" t="str">
        <f>"COPA SAS LMB"</f>
        <v>COPA SAS LMB</v>
      </c>
      <c r="C2932" s="4">
        <v>952161149</v>
      </c>
      <c r="D2932" s="3" t="s">
        <v>0</v>
      </c>
      <c r="E2932" s="2" t="str">
        <f>"0005801975"</f>
        <v>0005801975</v>
      </c>
      <c r="F2932" s="5">
        <v>45821</v>
      </c>
      <c r="G2932" s="5">
        <v>54789</v>
      </c>
      <c r="H2932" s="4" t="str">
        <f>""</f>
        <v/>
      </c>
      <c r="I2932" s="4" t="str">
        <f>""</f>
        <v/>
      </c>
    </row>
    <row r="2933" spans="1:9" x14ac:dyDescent="0.3">
      <c r="A2933" s="1" t="str">
        <f>"77"</f>
        <v>77</v>
      </c>
      <c r="B2933" s="4" t="str">
        <f>"SOCIETE MALLET"</f>
        <v>SOCIETE MALLET</v>
      </c>
      <c r="C2933" s="4">
        <v>329427439</v>
      </c>
      <c r="D2933" s="3" t="s">
        <v>0</v>
      </c>
      <c r="E2933" s="2" t="str">
        <f>"PR7700032D"</f>
        <v>PR7700032D</v>
      </c>
      <c r="F2933" s="5">
        <v>40333</v>
      </c>
      <c r="G2933" s="5">
        <v>54789</v>
      </c>
      <c r="H2933" s="4" t="str">
        <f>""</f>
        <v/>
      </c>
      <c r="I2933" s="4" t="str">
        <f>""</f>
        <v/>
      </c>
    </row>
    <row r="2934" spans="1:9" x14ac:dyDescent="0.3">
      <c r="A2934" s="1" t="str">
        <f>"77"</f>
        <v>77</v>
      </c>
      <c r="B2934" s="4" t="str">
        <f>"SOCIETE MALLET"</f>
        <v>SOCIETE MALLET</v>
      </c>
      <c r="C2934" s="4">
        <v>329427439</v>
      </c>
      <c r="D2934" s="3" t="s">
        <v>0</v>
      </c>
      <c r="E2934" s="2" t="str">
        <f>"0006502374"</f>
        <v>0006502374</v>
      </c>
      <c r="F2934" s="5">
        <v>40333</v>
      </c>
      <c r="G2934" s="5">
        <v>54789</v>
      </c>
      <c r="H2934" s="4" t="str">
        <f>""</f>
        <v/>
      </c>
      <c r="I2934" s="4" t="str">
        <f>""</f>
        <v/>
      </c>
    </row>
    <row r="2935" spans="1:9" x14ac:dyDescent="0.3">
      <c r="A2935" s="1" t="str">
        <f>"77"</f>
        <v>77</v>
      </c>
      <c r="B2935" s="4" t="str">
        <f>"DIDIER DUCHAUSSOY"</f>
        <v>DIDIER DUCHAUSSOY</v>
      </c>
      <c r="C2935" s="4">
        <v>338381932</v>
      </c>
      <c r="D2935" s="3" t="s">
        <v>0</v>
      </c>
      <c r="E2935" s="2" t="str">
        <f>"PR7700021D"</f>
        <v>PR7700021D</v>
      </c>
      <c r="F2935" s="5">
        <v>39415</v>
      </c>
      <c r="G2935" s="5">
        <v>54789</v>
      </c>
      <c r="H2935" s="4" t="str">
        <f>""</f>
        <v/>
      </c>
      <c r="I2935" s="4" t="str">
        <f>""</f>
        <v/>
      </c>
    </row>
    <row r="2936" spans="1:9" x14ac:dyDescent="0.3">
      <c r="A2936" s="1" t="str">
        <f>"77"</f>
        <v>77</v>
      </c>
      <c r="B2936" s="4" t="str">
        <f>"DIDIER DUCHAUSSOY"</f>
        <v>DIDIER DUCHAUSSOY</v>
      </c>
      <c r="C2936" s="4">
        <v>338381932</v>
      </c>
      <c r="D2936" s="3" t="s">
        <v>0</v>
      </c>
      <c r="E2936" s="2" t="str">
        <f>"0006500816"</f>
        <v>0006500816</v>
      </c>
      <c r="F2936" s="5">
        <v>39415</v>
      </c>
      <c r="G2936" s="5">
        <v>54789</v>
      </c>
      <c r="H2936" s="4" t="str">
        <f>""</f>
        <v/>
      </c>
      <c r="I2936" s="4" t="str">
        <f>""</f>
        <v/>
      </c>
    </row>
    <row r="2937" spans="1:9" x14ac:dyDescent="0.3">
      <c r="A2937" s="1" t="str">
        <f>"77"</f>
        <v>77</v>
      </c>
      <c r="B2937" s="4" t="str">
        <f>"INTERNATIONAL PARIS AVENUE MELUN (I.P.A. MELUN)"</f>
        <v>INTERNATIONAL PARIS AVENUE MELUN (I.P.A. MELUN)</v>
      </c>
      <c r="C2937" s="4">
        <v>343176137</v>
      </c>
      <c r="D2937" s="3" t="s">
        <v>0</v>
      </c>
      <c r="E2937" s="2" t="str">
        <f>"PR7700001D"</f>
        <v>PR7700001D</v>
      </c>
      <c r="F2937" s="5">
        <v>38854</v>
      </c>
      <c r="G2937" s="5">
        <v>54789</v>
      </c>
      <c r="H2937" s="4" t="str">
        <f>""</f>
        <v/>
      </c>
      <c r="I2937" s="4" t="str">
        <f>""</f>
        <v/>
      </c>
    </row>
    <row r="2938" spans="1:9" x14ac:dyDescent="0.3">
      <c r="A2938" s="1" t="str">
        <f>"77"</f>
        <v>77</v>
      </c>
      <c r="B2938" s="4" t="str">
        <f>"INTERNATIONAL PARIS AVENUE MELUN (I.P.A. MELUN)"</f>
        <v>INTERNATIONAL PARIS AVENUE MELUN (I.P.A. MELUN)</v>
      </c>
      <c r="C2938" s="4">
        <v>343176137</v>
      </c>
      <c r="D2938" s="3" t="s">
        <v>0</v>
      </c>
      <c r="E2938" s="2" t="str">
        <f>"0006511908"</f>
        <v>0006511908</v>
      </c>
      <c r="F2938" s="5">
        <v>38854</v>
      </c>
      <c r="G2938" s="5">
        <v>54789</v>
      </c>
      <c r="H2938" s="4" t="str">
        <f>""</f>
        <v/>
      </c>
      <c r="I2938" s="4" t="str">
        <f>""</f>
        <v/>
      </c>
    </row>
    <row r="2939" spans="1:9" x14ac:dyDescent="0.3">
      <c r="A2939" s="1" t="str">
        <f>"77"</f>
        <v>77</v>
      </c>
      <c r="B2939" s="4" t="str">
        <f>"BIG BENNES (BIG BENNES ¿ BIGMET)"</f>
        <v>BIG BENNES (BIG BENNES ¿ BIGMET)</v>
      </c>
      <c r="C2939" s="4">
        <v>343989372</v>
      </c>
      <c r="D2939" s="3" t="s">
        <v>0</v>
      </c>
      <c r="E2939" s="2" t="str">
        <f>"PR7700010D"</f>
        <v>PR7700010D</v>
      </c>
      <c r="F2939" s="5">
        <v>38678</v>
      </c>
      <c r="G2939" s="5">
        <v>54789</v>
      </c>
      <c r="H2939" s="4" t="str">
        <f>""</f>
        <v/>
      </c>
      <c r="I2939" s="4" t="str">
        <f>""</f>
        <v/>
      </c>
    </row>
    <row r="2940" spans="1:9" x14ac:dyDescent="0.3">
      <c r="A2940" s="1" t="str">
        <f>"77"</f>
        <v>77</v>
      </c>
      <c r="B2940" s="4" t="str">
        <f>"BIG BENNES (BIG BENNES ¿ BIGMET)"</f>
        <v>BIG BENNES (BIG BENNES ¿ BIGMET)</v>
      </c>
      <c r="C2940" s="4">
        <v>343989372</v>
      </c>
      <c r="D2940" s="3" t="s">
        <v>0</v>
      </c>
      <c r="E2940" s="2" t="str">
        <f>"0006502713"</f>
        <v>0006502713</v>
      </c>
      <c r="F2940" s="5">
        <v>38678</v>
      </c>
      <c r="G2940" s="5">
        <v>54789</v>
      </c>
      <c r="H2940" s="4" t="str">
        <f>""</f>
        <v/>
      </c>
      <c r="I2940" s="4" t="str">
        <f>""</f>
        <v/>
      </c>
    </row>
    <row r="2941" spans="1:9" x14ac:dyDescent="0.3">
      <c r="A2941" s="1" t="str">
        <f>"77"</f>
        <v>77</v>
      </c>
      <c r="B2941" s="4" t="str">
        <f>"DUPAS"</f>
        <v>DUPAS</v>
      </c>
      <c r="C2941" s="4">
        <v>352512248</v>
      </c>
      <c r="D2941" s="3" t="s">
        <v>0</v>
      </c>
      <c r="E2941" s="2" t="str">
        <f>"PR7700003D"</f>
        <v>PR7700003D</v>
      </c>
      <c r="F2941" s="5">
        <v>38869</v>
      </c>
      <c r="G2941" s="5">
        <v>54789</v>
      </c>
      <c r="H2941" s="4" t="str">
        <f>""</f>
        <v/>
      </c>
      <c r="I2941" s="4" t="str">
        <f>""</f>
        <v/>
      </c>
    </row>
    <row r="2942" spans="1:9" x14ac:dyDescent="0.3">
      <c r="A2942" s="1" t="str">
        <f>"77"</f>
        <v>77</v>
      </c>
      <c r="B2942" s="4" t="str">
        <f>"DUPAS"</f>
        <v>DUPAS</v>
      </c>
      <c r="C2942" s="4">
        <v>352512248</v>
      </c>
      <c r="D2942" s="3" t="s">
        <v>0</v>
      </c>
      <c r="E2942" s="2" t="str">
        <f>"0006502546"</f>
        <v>0006502546</v>
      </c>
      <c r="F2942" s="5">
        <v>38869</v>
      </c>
      <c r="G2942" s="5">
        <v>54789</v>
      </c>
      <c r="H2942" s="4" t="str">
        <f>""</f>
        <v/>
      </c>
      <c r="I2942" s="4" t="str">
        <f>""</f>
        <v/>
      </c>
    </row>
    <row r="2943" spans="1:9" x14ac:dyDescent="0.3">
      <c r="A2943" s="1" t="str">
        <f>"77"</f>
        <v>77</v>
      </c>
      <c r="B2943" s="4" t="str">
        <f>"SARL EURO CASSE"</f>
        <v>SARL EURO CASSE</v>
      </c>
      <c r="C2943" s="4">
        <v>382908937</v>
      </c>
      <c r="D2943" s="3" t="s">
        <v>0</v>
      </c>
      <c r="E2943" s="2" t="str">
        <f>"PR7700015D"</f>
        <v>PR7700015D</v>
      </c>
      <c r="F2943" s="5">
        <v>39034</v>
      </c>
      <c r="G2943" s="5">
        <v>54789</v>
      </c>
      <c r="H2943" s="4" t="str">
        <f>""</f>
        <v/>
      </c>
      <c r="I2943" s="4" t="str">
        <f>""</f>
        <v/>
      </c>
    </row>
    <row r="2944" spans="1:9" x14ac:dyDescent="0.3">
      <c r="A2944" s="1" t="str">
        <f>"77"</f>
        <v>77</v>
      </c>
      <c r="B2944" s="4" t="str">
        <f>"SARL EURO CASSE"</f>
        <v>SARL EURO CASSE</v>
      </c>
      <c r="C2944" s="4">
        <v>382908937</v>
      </c>
      <c r="D2944" s="3" t="s">
        <v>0</v>
      </c>
      <c r="E2944" s="2" t="str">
        <f>"0006500674"</f>
        <v>0006500674</v>
      </c>
      <c r="F2944" s="5">
        <v>39034</v>
      </c>
      <c r="G2944" s="5">
        <v>54789</v>
      </c>
      <c r="H2944" s="4" t="str">
        <f>""</f>
        <v/>
      </c>
      <c r="I2944" s="4" t="str">
        <f>""</f>
        <v/>
      </c>
    </row>
    <row r="2945" spans="1:9" x14ac:dyDescent="0.3">
      <c r="A2945" s="1" t="str">
        <f>"77"</f>
        <v>77</v>
      </c>
      <c r="B2945" s="4" t="str">
        <f>"DEPOLLUTION AUTOMOBILE CHELLOISE (DAC)"</f>
        <v>DEPOLLUTION AUTOMOBILE CHELLOISE (DAC)</v>
      </c>
      <c r="C2945" s="4">
        <v>392516621</v>
      </c>
      <c r="D2945" s="3" t="s">
        <v>0</v>
      </c>
      <c r="E2945" s="2" t="str">
        <f>"PR7700006D"</f>
        <v>PR7700006D</v>
      </c>
      <c r="F2945" s="5">
        <v>38898</v>
      </c>
      <c r="G2945" s="5">
        <v>54789</v>
      </c>
      <c r="H2945" s="4" t="str">
        <f>""</f>
        <v/>
      </c>
      <c r="I2945" s="4" t="str">
        <f>""</f>
        <v/>
      </c>
    </row>
    <row r="2946" spans="1:9" x14ac:dyDescent="0.3">
      <c r="A2946" s="1" t="str">
        <f>"77"</f>
        <v>77</v>
      </c>
      <c r="B2946" s="4" t="str">
        <f>"DEPOLLUTION AUTOMOBILE CHELLOISE (DAC)"</f>
        <v>DEPOLLUTION AUTOMOBILE CHELLOISE (DAC)</v>
      </c>
      <c r="C2946" s="4">
        <v>392516621</v>
      </c>
      <c r="D2946" s="3" t="s">
        <v>0</v>
      </c>
      <c r="E2946" s="2" t="str">
        <f>"0006500460"</f>
        <v>0006500460</v>
      </c>
      <c r="F2946" s="5">
        <v>38898</v>
      </c>
      <c r="G2946" s="5">
        <v>54789</v>
      </c>
      <c r="H2946" s="4" t="str">
        <f>""</f>
        <v/>
      </c>
      <c r="I2946" s="4" t="str">
        <f>""</f>
        <v/>
      </c>
    </row>
    <row r="2947" spans="1:9" x14ac:dyDescent="0.3">
      <c r="A2947" s="1" t="str">
        <f>"77"</f>
        <v>77</v>
      </c>
      <c r="B2947" s="4" t="str">
        <f>"AUTO 4"</f>
        <v>AUTO 4</v>
      </c>
      <c r="C2947" s="4">
        <v>399153709</v>
      </c>
      <c r="D2947" s="3" t="s">
        <v>0</v>
      </c>
      <c r="E2947" s="2" t="str">
        <f>"PR7700004D"</f>
        <v>PR7700004D</v>
      </c>
      <c r="F2947" s="5">
        <v>38890</v>
      </c>
      <c r="G2947" s="5">
        <v>54789</v>
      </c>
      <c r="H2947" s="4" t="str">
        <f>""</f>
        <v/>
      </c>
      <c r="I2947" s="4" t="str">
        <f>""</f>
        <v/>
      </c>
    </row>
    <row r="2948" spans="1:9" x14ac:dyDescent="0.3">
      <c r="A2948" s="1" t="str">
        <f>"77"</f>
        <v>77</v>
      </c>
      <c r="B2948" s="4" t="str">
        <f>"AUTO 4"</f>
        <v>AUTO 4</v>
      </c>
      <c r="C2948" s="4">
        <v>399153709</v>
      </c>
      <c r="D2948" s="3" t="s">
        <v>0</v>
      </c>
      <c r="E2948" s="2" t="str">
        <f>"0006502310"</f>
        <v>0006502310</v>
      </c>
      <c r="F2948" s="5">
        <v>38890</v>
      </c>
      <c r="G2948" s="5">
        <v>54789</v>
      </c>
      <c r="H2948" s="4" t="str">
        <f>""</f>
        <v/>
      </c>
      <c r="I2948" s="4" t="str">
        <f>""</f>
        <v/>
      </c>
    </row>
    <row r="2949" spans="1:9" x14ac:dyDescent="0.3">
      <c r="A2949" s="1" t="str">
        <f>"77"</f>
        <v>77</v>
      </c>
      <c r="B2949" s="4" t="str">
        <f>"R.N. 3 AUTOS"</f>
        <v>R.N. 3 AUTOS</v>
      </c>
      <c r="C2949" s="4">
        <v>411752447</v>
      </c>
      <c r="D2949" s="3" t="s">
        <v>0</v>
      </c>
      <c r="E2949" s="2" t="str">
        <f>"PR7700013D"</f>
        <v>PR7700013D</v>
      </c>
      <c r="F2949" s="5">
        <v>39028</v>
      </c>
      <c r="G2949" s="5">
        <v>54789</v>
      </c>
      <c r="H2949" s="4" t="str">
        <f>""</f>
        <v/>
      </c>
      <c r="I2949" s="4" t="str">
        <f>""</f>
        <v/>
      </c>
    </row>
    <row r="2950" spans="1:9" x14ac:dyDescent="0.3">
      <c r="A2950" s="1" t="str">
        <f>"77"</f>
        <v>77</v>
      </c>
      <c r="B2950" s="4" t="str">
        <f>"R.N. 3 AUTOS"</f>
        <v>R.N. 3 AUTOS</v>
      </c>
      <c r="C2950" s="4">
        <v>411752447</v>
      </c>
      <c r="D2950" s="3" t="s">
        <v>0</v>
      </c>
      <c r="E2950" s="2" t="str">
        <f>"0006500354"</f>
        <v>0006500354</v>
      </c>
      <c r="F2950" s="5">
        <v>39028</v>
      </c>
      <c r="G2950" s="5">
        <v>54789</v>
      </c>
      <c r="H2950" s="4" t="str">
        <f>""</f>
        <v/>
      </c>
      <c r="I2950" s="4" t="str">
        <f>""</f>
        <v/>
      </c>
    </row>
    <row r="2951" spans="1:9" x14ac:dyDescent="0.3">
      <c r="A2951" s="1" t="str">
        <f>"77"</f>
        <v>77</v>
      </c>
      <c r="B2951" s="4" t="str">
        <f>"GREZ PIECES AUTO"</f>
        <v>GREZ PIECES AUTO</v>
      </c>
      <c r="C2951" s="4">
        <v>442178356</v>
      </c>
      <c r="D2951" s="3" t="s">
        <v>0</v>
      </c>
      <c r="E2951" s="2" t="str">
        <f>"PR7700014D"</f>
        <v>PR7700014D</v>
      </c>
      <c r="F2951" s="5">
        <v>39034</v>
      </c>
      <c r="G2951" s="5">
        <v>54789</v>
      </c>
      <c r="H2951" s="4" t="str">
        <f>""</f>
        <v/>
      </c>
      <c r="I2951" s="4" t="str">
        <f>""</f>
        <v/>
      </c>
    </row>
    <row r="2952" spans="1:9" x14ac:dyDescent="0.3">
      <c r="A2952" s="1" t="str">
        <f>"77"</f>
        <v>77</v>
      </c>
      <c r="B2952" s="4" t="str">
        <f>"GREZ PIECES AUTO"</f>
        <v>GREZ PIECES AUTO</v>
      </c>
      <c r="C2952" s="4">
        <v>442178356</v>
      </c>
      <c r="D2952" s="3" t="s">
        <v>0</v>
      </c>
      <c r="E2952" s="2" t="str">
        <f>"0006507259"</f>
        <v>0006507259</v>
      </c>
      <c r="F2952" s="5">
        <v>39034</v>
      </c>
      <c r="G2952" s="5">
        <v>54789</v>
      </c>
      <c r="H2952" s="4" t="str">
        <f>""</f>
        <v/>
      </c>
      <c r="I2952" s="4" t="str">
        <f>""</f>
        <v/>
      </c>
    </row>
    <row r="2953" spans="1:9" x14ac:dyDescent="0.3">
      <c r="A2953" s="1" t="str">
        <f>"77"</f>
        <v>77</v>
      </c>
      <c r="B2953" s="4" t="str">
        <f>"FRANCE EUROPE AUTOMOBILES"</f>
        <v>FRANCE EUROPE AUTOMOBILES</v>
      </c>
      <c r="C2953" s="4">
        <v>444897748</v>
      </c>
      <c r="D2953" s="3" t="s">
        <v>0</v>
      </c>
      <c r="E2953" s="2" t="str">
        <f>"PR7700025D"</f>
        <v>PR7700025D</v>
      </c>
      <c r="F2953" s="5">
        <v>39469</v>
      </c>
      <c r="G2953" s="5">
        <v>54789</v>
      </c>
      <c r="H2953" s="4" t="str">
        <f>""</f>
        <v/>
      </c>
      <c r="I2953" s="4" t="str">
        <f>""</f>
        <v/>
      </c>
    </row>
    <row r="2954" spans="1:9" x14ac:dyDescent="0.3">
      <c r="A2954" s="1" t="str">
        <f>"77"</f>
        <v>77</v>
      </c>
      <c r="B2954" s="4" t="str">
        <f>"FRANCE EUROPE AUTOMOBILES"</f>
        <v>FRANCE EUROPE AUTOMOBILES</v>
      </c>
      <c r="C2954" s="4">
        <v>444897748</v>
      </c>
      <c r="D2954" s="3" t="s">
        <v>0</v>
      </c>
      <c r="E2954" s="2" t="str">
        <f>"0006512190"</f>
        <v>0006512190</v>
      </c>
      <c r="F2954" s="5">
        <v>39469</v>
      </c>
      <c r="G2954" s="5">
        <v>54789</v>
      </c>
      <c r="H2954" s="4" t="str">
        <f>""</f>
        <v/>
      </c>
      <c r="I2954" s="4" t="str">
        <f>""</f>
        <v/>
      </c>
    </row>
    <row r="2955" spans="1:9" x14ac:dyDescent="0.3">
      <c r="A2955" s="1" t="str">
        <f>"77"</f>
        <v>77</v>
      </c>
      <c r="B2955" s="4" t="str">
        <f>"MAGIQUE PIECES AUTO (MPA)"</f>
        <v>MAGIQUE PIECES AUTO (MPA)</v>
      </c>
      <c r="C2955" s="4">
        <v>449749530</v>
      </c>
      <c r="D2955" s="3" t="s">
        <v>0</v>
      </c>
      <c r="E2955" s="2" t="str">
        <f>"PR7700030D"</f>
        <v>PR7700030D</v>
      </c>
      <c r="F2955" s="5">
        <v>40130</v>
      </c>
      <c r="G2955" s="5">
        <v>54789</v>
      </c>
      <c r="H2955" s="4" t="str">
        <f>""</f>
        <v/>
      </c>
      <c r="I2955" s="4" t="str">
        <f>""</f>
        <v/>
      </c>
    </row>
    <row r="2956" spans="1:9" x14ac:dyDescent="0.3">
      <c r="A2956" s="1" t="str">
        <f>"77"</f>
        <v>77</v>
      </c>
      <c r="B2956" s="4" t="str">
        <f>"MAGIQUE PIECES AUTO (MPA)"</f>
        <v>MAGIQUE PIECES AUTO (MPA)</v>
      </c>
      <c r="C2956" s="4">
        <v>449749530</v>
      </c>
      <c r="D2956" s="3" t="s">
        <v>0</v>
      </c>
      <c r="E2956" s="2" t="str">
        <f>"0006503090"</f>
        <v>0006503090</v>
      </c>
      <c r="F2956" s="5">
        <v>40130</v>
      </c>
      <c r="G2956" s="5">
        <v>54789</v>
      </c>
      <c r="H2956" s="4" t="str">
        <f>""</f>
        <v/>
      </c>
      <c r="I2956" s="4" t="str">
        <f>""</f>
        <v/>
      </c>
    </row>
    <row r="2957" spans="1:9" x14ac:dyDescent="0.3">
      <c r="A2957" s="1" t="str">
        <f>"77"</f>
        <v>77</v>
      </c>
      <c r="B2957" s="4" t="str">
        <f>"DRM DEMOLITION ET REVENTE DE METAUX (DRM)"</f>
        <v>DRM DEMOLITION ET REVENTE DE METAUX (DRM)</v>
      </c>
      <c r="C2957" s="4">
        <v>493169965</v>
      </c>
      <c r="D2957" s="3" t="s">
        <v>0</v>
      </c>
      <c r="E2957" s="2" t="str">
        <f>"PR7700041D"</f>
        <v>PR7700041D</v>
      </c>
      <c r="F2957" s="5">
        <v>42367</v>
      </c>
      <c r="G2957" s="5">
        <v>54789</v>
      </c>
      <c r="H2957" s="4" t="str">
        <f>""</f>
        <v/>
      </c>
      <c r="I2957" s="4" t="str">
        <f>""</f>
        <v/>
      </c>
    </row>
    <row r="2958" spans="1:9" x14ac:dyDescent="0.3">
      <c r="A2958" s="1" t="str">
        <f>"77"</f>
        <v>77</v>
      </c>
      <c r="B2958" s="4" t="str">
        <f>"DRM DEMOLITION ET REVENTE DE METAUX (DRM)"</f>
        <v>DRM DEMOLITION ET REVENTE DE METAUX (DRM)</v>
      </c>
      <c r="C2958" s="4">
        <v>493169965</v>
      </c>
      <c r="D2958" s="3" t="s">
        <v>0</v>
      </c>
      <c r="E2958" s="2" t="str">
        <f>"0006501493"</f>
        <v>0006501493</v>
      </c>
      <c r="F2958" s="5">
        <v>42367</v>
      </c>
      <c r="G2958" s="5">
        <v>54789</v>
      </c>
      <c r="H2958" s="4" t="str">
        <f>""</f>
        <v/>
      </c>
      <c r="I2958" s="4" t="str">
        <f>""</f>
        <v/>
      </c>
    </row>
    <row r="2959" spans="1:9" x14ac:dyDescent="0.3">
      <c r="A2959" s="1" t="str">
        <f>"77"</f>
        <v>77</v>
      </c>
      <c r="B2959" s="4" t="str">
        <f>"DEPOLIA"</f>
        <v>DEPOLIA</v>
      </c>
      <c r="C2959" s="4">
        <v>499556934</v>
      </c>
      <c r="D2959" s="3" t="s">
        <v>0</v>
      </c>
      <c r="E2959" s="2" t="str">
        <f>"PR7700034D"</f>
        <v>PR7700034D</v>
      </c>
      <c r="F2959" s="5">
        <v>40598</v>
      </c>
      <c r="G2959" s="5">
        <v>54789</v>
      </c>
      <c r="H2959" s="4" t="str">
        <f>""</f>
        <v/>
      </c>
      <c r="I2959" s="4" t="str">
        <f>""</f>
        <v/>
      </c>
    </row>
    <row r="2960" spans="1:9" x14ac:dyDescent="0.3">
      <c r="A2960" s="1" t="str">
        <f>"77"</f>
        <v>77</v>
      </c>
      <c r="B2960" s="4" t="str">
        <f>"DEPOLIA"</f>
        <v>DEPOLIA</v>
      </c>
      <c r="C2960" s="4">
        <v>499556934</v>
      </c>
      <c r="D2960" s="3" t="s">
        <v>0</v>
      </c>
      <c r="E2960" s="2" t="str">
        <f>"0006513392"</f>
        <v>0006513392</v>
      </c>
      <c r="F2960" s="5">
        <v>40598</v>
      </c>
      <c r="G2960" s="5">
        <v>54789</v>
      </c>
      <c r="H2960" s="4" t="str">
        <f>""</f>
        <v/>
      </c>
      <c r="I2960" s="4" t="str">
        <f>""</f>
        <v/>
      </c>
    </row>
    <row r="2961" spans="1:9" x14ac:dyDescent="0.3">
      <c r="A2961" s="1" t="str">
        <f>"77"</f>
        <v>77</v>
      </c>
      <c r="B2961" s="4" t="str">
        <f>"CASSE AUTO PIECES"</f>
        <v>CASSE AUTO PIECES</v>
      </c>
      <c r="C2961" s="4">
        <v>529598526</v>
      </c>
      <c r="D2961" s="3" t="s">
        <v>0</v>
      </c>
      <c r="E2961" s="2" t="str">
        <f>"PR7700017D"</f>
        <v>PR7700017D</v>
      </c>
      <c r="F2961" s="5">
        <v>39154</v>
      </c>
      <c r="G2961" s="5">
        <v>54789</v>
      </c>
      <c r="H2961" s="4" t="str">
        <f>""</f>
        <v/>
      </c>
      <c r="I2961" s="4" t="str">
        <f>""</f>
        <v/>
      </c>
    </row>
    <row r="2962" spans="1:9" x14ac:dyDescent="0.3">
      <c r="A2962" s="1" t="str">
        <f>"77"</f>
        <v>77</v>
      </c>
      <c r="B2962" s="4" t="str">
        <f>"CASSE AUTO PIECES"</f>
        <v>CASSE AUTO PIECES</v>
      </c>
      <c r="C2962" s="4">
        <v>529598526</v>
      </c>
      <c r="D2962" s="3" t="s">
        <v>0</v>
      </c>
      <c r="E2962" s="2" t="str">
        <f>"0006500983"</f>
        <v>0006500983</v>
      </c>
      <c r="F2962" s="5">
        <v>39154</v>
      </c>
      <c r="G2962" s="5">
        <v>54789</v>
      </c>
      <c r="H2962" s="4" t="str">
        <f>""</f>
        <v/>
      </c>
      <c r="I2962" s="4" t="str">
        <f>""</f>
        <v/>
      </c>
    </row>
    <row r="2963" spans="1:9" x14ac:dyDescent="0.3">
      <c r="A2963" s="1" t="str">
        <f>"77"</f>
        <v>77</v>
      </c>
      <c r="B2963" s="4" t="str">
        <f>"REVIVAL"</f>
        <v>REVIVAL</v>
      </c>
      <c r="C2963" s="4">
        <v>616620092</v>
      </c>
      <c r="D2963" s="3" t="s">
        <v>0</v>
      </c>
      <c r="E2963" s="2" t="str">
        <f>"PR7700009D"</f>
        <v>PR7700009D</v>
      </c>
      <c r="F2963" s="5">
        <v>38933</v>
      </c>
      <c r="G2963" s="5">
        <v>54789</v>
      </c>
      <c r="H2963" s="4" t="str">
        <f>""</f>
        <v/>
      </c>
      <c r="I2963" s="4" t="str">
        <f>""</f>
        <v/>
      </c>
    </row>
    <row r="2964" spans="1:9" x14ac:dyDescent="0.3">
      <c r="A2964" s="1" t="str">
        <f>"77"</f>
        <v>77</v>
      </c>
      <c r="B2964" s="4" t="str">
        <f>"REVIVAL"</f>
        <v>REVIVAL</v>
      </c>
      <c r="C2964" s="4">
        <v>616620092</v>
      </c>
      <c r="D2964" s="3" t="s">
        <v>0</v>
      </c>
      <c r="E2964" s="2" t="str">
        <f>"0006500498"</f>
        <v>0006500498</v>
      </c>
      <c r="F2964" s="5">
        <v>38933</v>
      </c>
      <c r="G2964" s="5">
        <v>54789</v>
      </c>
      <c r="H2964" s="4" t="str">
        <f>""</f>
        <v/>
      </c>
      <c r="I2964" s="4" t="str">
        <f>""</f>
        <v/>
      </c>
    </row>
    <row r="2965" spans="1:9" x14ac:dyDescent="0.3">
      <c r="A2965" s="1" t="str">
        <f>"77"</f>
        <v>77</v>
      </c>
      <c r="B2965" s="4" t="str">
        <f>"AUTO-OPREMA"</f>
        <v>AUTO-OPREMA</v>
      </c>
      <c r="C2965" s="4">
        <v>751543182</v>
      </c>
      <c r="D2965" s="3" t="s">
        <v>0</v>
      </c>
      <c r="E2965" s="2" t="str">
        <f>"PR7700039D"</f>
        <v>PR7700039D</v>
      </c>
      <c r="F2965" s="5">
        <v>41822</v>
      </c>
      <c r="G2965" s="5">
        <v>54789</v>
      </c>
      <c r="H2965" s="4" t="str">
        <f>""</f>
        <v/>
      </c>
      <c r="I2965" s="4" t="str">
        <f>""</f>
        <v/>
      </c>
    </row>
    <row r="2966" spans="1:9" x14ac:dyDescent="0.3">
      <c r="A2966" s="1" t="str">
        <f>"77"</f>
        <v>77</v>
      </c>
      <c r="B2966" s="4" t="str">
        <f>"AUTO-OPREMA"</f>
        <v>AUTO-OPREMA</v>
      </c>
      <c r="C2966" s="4">
        <v>751543182</v>
      </c>
      <c r="D2966" s="3" t="s">
        <v>0</v>
      </c>
      <c r="E2966" s="2" t="str">
        <f>"0006512373"</f>
        <v>0006512373</v>
      </c>
      <c r="F2966" s="5">
        <v>41822</v>
      </c>
      <c r="G2966" s="5">
        <v>54789</v>
      </c>
      <c r="H2966" s="4" t="str">
        <f>""</f>
        <v/>
      </c>
      <c r="I2966" s="4" t="str">
        <f>""</f>
        <v/>
      </c>
    </row>
    <row r="2967" spans="1:9" x14ac:dyDescent="0.3">
      <c r="A2967" s="1" t="str">
        <f>"77"</f>
        <v>77</v>
      </c>
      <c r="B2967" s="4" t="str">
        <f>"ARMABESSAIRE ET COMPAGNIE (ARMABESSAIRE)"</f>
        <v>ARMABESSAIRE ET COMPAGNIE (ARMABESSAIRE)</v>
      </c>
      <c r="C2967" s="4">
        <v>785950262</v>
      </c>
      <c r="D2967" s="3" t="s">
        <v>0</v>
      </c>
      <c r="E2967" s="2" t="str">
        <f>"PR7700019D"</f>
        <v>PR7700019D</v>
      </c>
      <c r="F2967" s="5">
        <v>39205</v>
      </c>
      <c r="G2967" s="5">
        <v>54789</v>
      </c>
      <c r="H2967" s="4" t="str">
        <f>""</f>
        <v/>
      </c>
      <c r="I2967" s="4" t="str">
        <f>""</f>
        <v/>
      </c>
    </row>
    <row r="2968" spans="1:9" x14ac:dyDescent="0.3">
      <c r="A2968" s="1" t="str">
        <f>"77"</f>
        <v>77</v>
      </c>
      <c r="B2968" s="4" t="str">
        <f>"ARMABESSAIRE ET COMPAGNIE (ARMABESSAIRE)"</f>
        <v>ARMABESSAIRE ET COMPAGNIE (ARMABESSAIRE)</v>
      </c>
      <c r="C2968" s="4">
        <v>785950262</v>
      </c>
      <c r="D2968" s="3" t="s">
        <v>0</v>
      </c>
      <c r="E2968" s="2" t="str">
        <f>"PR7700004B"</f>
        <v>PR7700004B</v>
      </c>
      <c r="F2968" s="5">
        <v>43361</v>
      </c>
      <c r="G2968" s="5">
        <v>54789</v>
      </c>
      <c r="H2968" s="4" t="str">
        <f>""</f>
        <v/>
      </c>
      <c r="I2968" s="4" t="str">
        <f>""</f>
        <v/>
      </c>
    </row>
    <row r="2969" spans="1:9" x14ac:dyDescent="0.3">
      <c r="A2969" s="1" t="str">
        <f>"77"</f>
        <v>77</v>
      </c>
      <c r="B2969" s="4" t="str">
        <f>"ARMABESSAIRE ET COMPAGNIE (ARMABESSAIRE)"</f>
        <v>ARMABESSAIRE ET COMPAGNIE (ARMABESSAIRE)</v>
      </c>
      <c r="C2969" s="4">
        <v>785950262</v>
      </c>
      <c r="D2969" s="3" t="s">
        <v>0</v>
      </c>
      <c r="E2969" s="2" t="str">
        <f>"0006502284"</f>
        <v>0006502284</v>
      </c>
      <c r="F2969" s="5">
        <v>39205</v>
      </c>
      <c r="G2969" s="5">
        <v>54789</v>
      </c>
      <c r="H2969" s="4" t="str">
        <f>""</f>
        <v/>
      </c>
      <c r="I2969" s="4" t="str">
        <f>""</f>
        <v/>
      </c>
    </row>
    <row r="2970" spans="1:9" x14ac:dyDescent="0.3">
      <c r="A2970" s="1" t="str">
        <f>"77"</f>
        <v>77</v>
      </c>
      <c r="B2970" s="4" t="str">
        <f>"RECYCLE AUTO PIECES"</f>
        <v>RECYCLE AUTO PIECES</v>
      </c>
      <c r="C2970" s="4">
        <v>789523990</v>
      </c>
      <c r="D2970" s="3" t="s">
        <v>0</v>
      </c>
      <c r="E2970" s="2" t="str">
        <f>"PR7700049D"</f>
        <v>PR7700049D</v>
      </c>
      <c r="F2970" s="5">
        <v>44116</v>
      </c>
      <c r="G2970" s="5">
        <v>54789</v>
      </c>
      <c r="H2970" s="4" t="str">
        <f>""</f>
        <v/>
      </c>
      <c r="I2970" s="4" t="str">
        <f>""</f>
        <v/>
      </c>
    </row>
    <row r="2971" spans="1:9" x14ac:dyDescent="0.3">
      <c r="A2971" s="1" t="str">
        <f>"77"</f>
        <v>77</v>
      </c>
      <c r="B2971" s="4" t="str">
        <f>"RECYCLE AUTO PIECES"</f>
        <v>RECYCLE AUTO PIECES</v>
      </c>
      <c r="C2971" s="4">
        <v>789523990</v>
      </c>
      <c r="D2971" s="3" t="s">
        <v>0</v>
      </c>
      <c r="E2971" s="2" t="str">
        <f>"0006522173"</f>
        <v>0006522173</v>
      </c>
      <c r="F2971" s="5">
        <v>44116</v>
      </c>
      <c r="G2971" s="5">
        <v>54789</v>
      </c>
      <c r="H2971" s="4" t="str">
        <f>""</f>
        <v/>
      </c>
      <c r="I2971" s="4" t="str">
        <f>""</f>
        <v/>
      </c>
    </row>
    <row r="2972" spans="1:9" x14ac:dyDescent="0.3">
      <c r="A2972" s="1" t="str">
        <f>"77"</f>
        <v>77</v>
      </c>
      <c r="B2972" s="4" t="str">
        <f>"MCT AUTO"</f>
        <v>MCT AUTO</v>
      </c>
      <c r="C2972" s="4">
        <v>789702321</v>
      </c>
      <c r="D2972" s="3" t="s">
        <v>0</v>
      </c>
      <c r="E2972" s="2" t="str">
        <f>"PR7700054D"</f>
        <v>PR7700054D</v>
      </c>
      <c r="F2972" s="5">
        <v>45275</v>
      </c>
      <c r="G2972" s="5">
        <v>54789</v>
      </c>
      <c r="H2972" s="4" t="str">
        <f>""</f>
        <v/>
      </c>
      <c r="I2972" s="4" t="str">
        <f>""</f>
        <v/>
      </c>
    </row>
    <row r="2973" spans="1:9" x14ac:dyDescent="0.3">
      <c r="A2973" s="1" t="str">
        <f>"77"</f>
        <v>77</v>
      </c>
      <c r="B2973" s="4" t="str">
        <f>"MCT AUTO"</f>
        <v>MCT AUTO</v>
      </c>
      <c r="C2973" s="4">
        <v>789702321</v>
      </c>
      <c r="D2973" s="3" t="s">
        <v>0</v>
      </c>
      <c r="E2973" s="2" t="str">
        <f>"0006521795"</f>
        <v>0006521795</v>
      </c>
      <c r="F2973" s="5">
        <v>45275</v>
      </c>
      <c r="G2973" s="5">
        <v>54789</v>
      </c>
      <c r="H2973" s="4" t="str">
        <f>""</f>
        <v/>
      </c>
      <c r="I2973" s="4" t="str">
        <f>""</f>
        <v/>
      </c>
    </row>
    <row r="2974" spans="1:9" x14ac:dyDescent="0.3">
      <c r="A2974" s="1" t="str">
        <f>"77"</f>
        <v>77</v>
      </c>
      <c r="B2974" s="4" t="str">
        <f>"DG AUTOS MOTOS 77"</f>
        <v>DG AUTOS MOTOS 77</v>
      </c>
      <c r="C2974" s="4">
        <v>790082739</v>
      </c>
      <c r="D2974" s="3" t="s">
        <v>0</v>
      </c>
      <c r="E2974" s="2" t="str">
        <f>"PR7700040D"</f>
        <v>PR7700040D</v>
      </c>
      <c r="F2974" s="5">
        <v>45147</v>
      </c>
      <c r="G2974" s="5">
        <v>54789</v>
      </c>
      <c r="H2974" s="4" t="str">
        <f>""</f>
        <v/>
      </c>
      <c r="I2974" s="4" t="str">
        <f>""</f>
        <v/>
      </c>
    </row>
    <row r="2975" spans="1:9" x14ac:dyDescent="0.3">
      <c r="A2975" s="1" t="str">
        <f>"77"</f>
        <v>77</v>
      </c>
      <c r="B2975" s="4" t="str">
        <f>"BF 19"</f>
        <v>BF 19</v>
      </c>
      <c r="C2975" s="4">
        <v>804394351</v>
      </c>
      <c r="D2975" s="3" t="s">
        <v>0</v>
      </c>
      <c r="E2975" s="2" t="str">
        <f>"PR7700042D"</f>
        <v>PR7700042D</v>
      </c>
      <c r="F2975" s="5">
        <v>43004</v>
      </c>
      <c r="G2975" s="5">
        <v>54789</v>
      </c>
      <c r="H2975" s="4" t="str">
        <f>""</f>
        <v/>
      </c>
      <c r="I2975" s="4" t="str">
        <f>""</f>
        <v/>
      </c>
    </row>
    <row r="2976" spans="1:9" x14ac:dyDescent="0.3">
      <c r="A2976" s="1" t="str">
        <f>"77"</f>
        <v>77</v>
      </c>
      <c r="B2976" s="4" t="str">
        <f>"BF 19"</f>
        <v>BF 19</v>
      </c>
      <c r="C2976" s="4">
        <v>804394351</v>
      </c>
      <c r="D2976" s="3" t="s">
        <v>0</v>
      </c>
      <c r="E2976" s="2" t="str">
        <f>"0006518583"</f>
        <v>0006518583</v>
      </c>
      <c r="F2976" s="5">
        <v>43004</v>
      </c>
      <c r="G2976" s="5">
        <v>54789</v>
      </c>
      <c r="H2976" s="4" t="str">
        <f>""</f>
        <v/>
      </c>
      <c r="I2976" s="4" t="str">
        <f>""</f>
        <v/>
      </c>
    </row>
    <row r="2977" spans="1:9" x14ac:dyDescent="0.3">
      <c r="A2977" s="1" t="str">
        <f>"77"</f>
        <v>77</v>
      </c>
      <c r="B2977" s="4" t="str">
        <f>"ECO CARS 77"</f>
        <v>ECO CARS 77</v>
      </c>
      <c r="C2977" s="4">
        <v>834077174</v>
      </c>
      <c r="D2977" s="3" t="s">
        <v>0</v>
      </c>
      <c r="E2977" s="2" t="str">
        <f>"PR7700050D"</f>
        <v>PR7700050D</v>
      </c>
      <c r="F2977" s="5">
        <v>44440</v>
      </c>
      <c r="G2977" s="5">
        <v>54789</v>
      </c>
      <c r="H2977" s="4" t="str">
        <f>""</f>
        <v/>
      </c>
      <c r="I2977" s="4" t="str">
        <f>""</f>
        <v/>
      </c>
    </row>
    <row r="2978" spans="1:9" x14ac:dyDescent="0.3">
      <c r="A2978" s="1" t="str">
        <f>"77"</f>
        <v>77</v>
      </c>
      <c r="B2978" s="4" t="str">
        <f>"ECO CARS 77"</f>
        <v>ECO CARS 77</v>
      </c>
      <c r="C2978" s="4">
        <v>834077174</v>
      </c>
      <c r="D2978" s="3" t="s">
        <v>0</v>
      </c>
      <c r="E2978" s="2" t="str">
        <f>"0006515785"</f>
        <v>0006515785</v>
      </c>
      <c r="F2978" s="5">
        <v>44440</v>
      </c>
      <c r="G2978" s="5">
        <v>54789</v>
      </c>
      <c r="H2978" s="4" t="str">
        <f>""</f>
        <v/>
      </c>
      <c r="I2978" s="4" t="str">
        <f>""</f>
        <v/>
      </c>
    </row>
    <row r="2979" spans="1:9" x14ac:dyDescent="0.3">
      <c r="A2979" s="1" t="str">
        <f>"77"</f>
        <v>77</v>
      </c>
      <c r="B2979" s="4" t="str">
        <f>"STLG RECYCLAGE"</f>
        <v>STLG RECYCLAGE</v>
      </c>
      <c r="C2979" s="4">
        <v>838924645</v>
      </c>
      <c r="D2979" s="3" t="s">
        <v>0</v>
      </c>
      <c r="E2979" s="2" t="str">
        <f>"PR7700044D"</f>
        <v>PR7700044D</v>
      </c>
      <c r="F2979" s="5">
        <v>45085</v>
      </c>
      <c r="G2979" s="5">
        <v>54789</v>
      </c>
      <c r="H2979" s="4" t="str">
        <f>""</f>
        <v/>
      </c>
      <c r="I2979" s="4" t="str">
        <f>""</f>
        <v/>
      </c>
    </row>
    <row r="2980" spans="1:9" x14ac:dyDescent="0.3">
      <c r="A2980" s="1" t="str">
        <f>"77"</f>
        <v>77</v>
      </c>
      <c r="B2980" s="4" t="str">
        <f>"STLG RECYCLAGE"</f>
        <v>STLG RECYCLAGE</v>
      </c>
      <c r="C2980" s="4">
        <v>838924645</v>
      </c>
      <c r="D2980" s="3" t="s">
        <v>0</v>
      </c>
      <c r="E2980" s="2" t="str">
        <f>"PR7700003B"</f>
        <v>PR7700003B</v>
      </c>
      <c r="F2980" s="5">
        <v>45085</v>
      </c>
      <c r="G2980" s="5">
        <v>54789</v>
      </c>
      <c r="H2980" s="4" t="str">
        <f>""</f>
        <v/>
      </c>
      <c r="I2980" s="4" t="str">
        <f>""</f>
        <v/>
      </c>
    </row>
    <row r="2981" spans="1:9" x14ac:dyDescent="0.3">
      <c r="A2981" s="1" t="str">
        <f>"77"</f>
        <v>77</v>
      </c>
      <c r="B2981" s="4" t="str">
        <f>"STLG RECYCLAGE"</f>
        <v>STLG RECYCLAGE</v>
      </c>
      <c r="C2981" s="4">
        <v>838924645</v>
      </c>
      <c r="D2981" s="3" t="s">
        <v>0</v>
      </c>
      <c r="E2981" s="2" t="str">
        <f>"0006510584"</f>
        <v>0006510584</v>
      </c>
      <c r="F2981" s="5">
        <v>44280</v>
      </c>
      <c r="G2981" s="5">
        <v>54789</v>
      </c>
      <c r="H2981" s="4" t="str">
        <f>""</f>
        <v/>
      </c>
      <c r="I2981" s="4" t="str">
        <f>""</f>
        <v/>
      </c>
    </row>
    <row r="2982" spans="1:9" x14ac:dyDescent="0.3">
      <c r="A2982" s="1" t="str">
        <f>"77"</f>
        <v>77</v>
      </c>
      <c r="B2982" s="4" t="str">
        <f>"DEPOLLUTION AUTO PIECES (DAP)"</f>
        <v>DEPOLLUTION AUTO PIECES (DAP)</v>
      </c>
      <c r="C2982" s="4">
        <v>844790675</v>
      </c>
      <c r="D2982" s="3" t="s">
        <v>0</v>
      </c>
      <c r="E2982" s="2" t="str">
        <f>"PR7700047D"</f>
        <v>PR7700047D</v>
      </c>
      <c r="F2982" s="5">
        <v>43783</v>
      </c>
      <c r="G2982" s="5">
        <v>54789</v>
      </c>
      <c r="H2982" s="4" t="str">
        <f>""</f>
        <v/>
      </c>
      <c r="I2982" s="4" t="str">
        <f>""</f>
        <v/>
      </c>
    </row>
    <row r="2983" spans="1:9" x14ac:dyDescent="0.3">
      <c r="A2983" s="1" t="str">
        <f>"77"</f>
        <v>77</v>
      </c>
      <c r="B2983" s="4" t="str">
        <f>"AUTOS PIECES SERVICES 77"</f>
        <v>AUTOS PIECES SERVICES 77</v>
      </c>
      <c r="C2983" s="4">
        <v>850567108</v>
      </c>
      <c r="D2983" s="3" t="s">
        <v>0</v>
      </c>
      <c r="E2983" s="2" t="str">
        <f>"PR7700046D"</f>
        <v>PR7700046D</v>
      </c>
      <c r="F2983" s="5">
        <v>43761</v>
      </c>
      <c r="G2983" s="5">
        <v>54789</v>
      </c>
      <c r="H2983" s="4" t="str">
        <f>""</f>
        <v/>
      </c>
      <c r="I2983" s="4" t="str">
        <f>""</f>
        <v/>
      </c>
    </row>
    <row r="2984" spans="1:9" x14ac:dyDescent="0.3">
      <c r="A2984" s="1" t="str">
        <f>"77"</f>
        <v>77</v>
      </c>
      <c r="B2984" s="4" t="str">
        <f>"AUTOS PIECES SERVICES 77"</f>
        <v>AUTOS PIECES SERVICES 77</v>
      </c>
      <c r="C2984" s="4">
        <v>850567108</v>
      </c>
      <c r="D2984" s="3" t="s">
        <v>0</v>
      </c>
      <c r="E2984" s="2" t="str">
        <f>"0006502647"</f>
        <v>0006502647</v>
      </c>
      <c r="F2984" s="5">
        <v>43761</v>
      </c>
      <c r="G2984" s="5">
        <v>54789</v>
      </c>
      <c r="H2984" s="4" t="str">
        <f>""</f>
        <v/>
      </c>
      <c r="I2984" s="4" t="str">
        <f>""</f>
        <v/>
      </c>
    </row>
    <row r="2985" spans="1:9" x14ac:dyDescent="0.3">
      <c r="A2985" s="1" t="str">
        <f>"77"</f>
        <v>77</v>
      </c>
      <c r="B2985" s="4" t="str">
        <f>"T.A RECYCLAGE"</f>
        <v>T.A RECYCLAGE</v>
      </c>
      <c r="C2985" s="4">
        <v>851383919</v>
      </c>
      <c r="D2985" s="3" t="s">
        <v>0</v>
      </c>
      <c r="E2985" s="2" t="str">
        <f>"PR7700053D"</f>
        <v>PR7700053D</v>
      </c>
      <c r="F2985" s="5">
        <v>45188</v>
      </c>
      <c r="G2985" s="5">
        <v>54789</v>
      </c>
      <c r="H2985" s="4" t="str">
        <f>""</f>
        <v/>
      </c>
      <c r="I2985" s="4" t="str">
        <f>""</f>
        <v/>
      </c>
    </row>
    <row r="2986" spans="1:9" x14ac:dyDescent="0.3">
      <c r="A2986" s="1" t="str">
        <f>"77"</f>
        <v>77</v>
      </c>
      <c r="B2986" s="4" t="str">
        <f>"T.A RECYCLAGE"</f>
        <v>T.A RECYCLAGE</v>
      </c>
      <c r="C2986" s="4">
        <v>851383919</v>
      </c>
      <c r="D2986" s="3" t="s">
        <v>0</v>
      </c>
      <c r="E2986" s="2" t="str">
        <f>"0100002798"</f>
        <v>0100002798</v>
      </c>
      <c r="F2986" s="5">
        <v>45188</v>
      </c>
      <c r="G2986" s="5">
        <v>54789</v>
      </c>
      <c r="H2986" s="4" t="str">
        <f>""</f>
        <v/>
      </c>
      <c r="I2986" s="4" t="str">
        <f>""</f>
        <v/>
      </c>
    </row>
    <row r="2987" spans="1:9" x14ac:dyDescent="0.3">
      <c r="A2987" s="1" t="str">
        <f>"77"</f>
        <v>77</v>
      </c>
      <c r="B2987" s="4" t="str">
        <f>"T.A RECYCLAGE"</f>
        <v>T.A RECYCLAGE</v>
      </c>
      <c r="C2987" s="4">
        <v>851383919</v>
      </c>
      <c r="D2987" s="3" t="s">
        <v>0</v>
      </c>
      <c r="E2987" s="2" t="str">
        <f>"PR7700055D"</f>
        <v>PR7700055D</v>
      </c>
      <c r="F2987" s="5">
        <v>45645</v>
      </c>
      <c r="G2987" s="5">
        <v>54789</v>
      </c>
      <c r="H2987" s="4" t="str">
        <f>""</f>
        <v/>
      </c>
      <c r="I2987" s="4" t="str">
        <f>""</f>
        <v/>
      </c>
    </row>
    <row r="2988" spans="1:9" x14ac:dyDescent="0.3">
      <c r="A2988" s="1" t="str">
        <f>"77"</f>
        <v>77</v>
      </c>
      <c r="B2988" s="4" t="str">
        <f>"RECYCLAGE PIECE AUTO"</f>
        <v>RECYCLAGE PIECE AUTO</v>
      </c>
      <c r="C2988" s="4">
        <v>898363585</v>
      </c>
      <c r="D2988" s="3" t="s">
        <v>0</v>
      </c>
      <c r="E2988" s="2" t="str">
        <f>"PR7700052D"</f>
        <v>PR7700052D</v>
      </c>
      <c r="F2988" s="5">
        <v>44999</v>
      </c>
      <c r="G2988" s="5">
        <v>54789</v>
      </c>
      <c r="H2988" s="4" t="str">
        <f>""</f>
        <v/>
      </c>
      <c r="I2988" s="4" t="str">
        <f>""</f>
        <v/>
      </c>
    </row>
    <row r="2989" spans="1:9" x14ac:dyDescent="0.3">
      <c r="A2989" s="1" t="str">
        <f>"77"</f>
        <v>77</v>
      </c>
      <c r="B2989" s="4" t="str">
        <f>"RECYCLAGE PIECE AUTO"</f>
        <v>RECYCLAGE PIECE AUTO</v>
      </c>
      <c r="C2989" s="4">
        <v>898363585</v>
      </c>
      <c r="D2989" s="3" t="s">
        <v>0</v>
      </c>
      <c r="E2989" s="2" t="str">
        <f>"0006510558"</f>
        <v>0006510558</v>
      </c>
      <c r="F2989" s="5">
        <v>44999</v>
      </c>
      <c r="G2989" s="5">
        <v>54789</v>
      </c>
      <c r="H2989" s="4" t="str">
        <f>""</f>
        <v/>
      </c>
      <c r="I2989" s="4" t="str">
        <f>""</f>
        <v/>
      </c>
    </row>
    <row r="2990" spans="1:9" x14ac:dyDescent="0.3">
      <c r="A2990" s="1" t="str">
        <f>"77"</f>
        <v>77</v>
      </c>
      <c r="B2990" s="4" t="str">
        <f>"TRENTE TROIS"</f>
        <v>TRENTE TROIS</v>
      </c>
      <c r="C2990" s="4">
        <v>918702531</v>
      </c>
      <c r="D2990" s="3" t="s">
        <v>0</v>
      </c>
      <c r="E2990" s="2" t="str">
        <f>"PR7700051D"</f>
        <v>PR7700051D</v>
      </c>
      <c r="F2990" s="5">
        <v>44927</v>
      </c>
      <c r="G2990" s="5">
        <v>54789</v>
      </c>
      <c r="H2990" s="4" t="str">
        <f>""</f>
        <v/>
      </c>
      <c r="I2990" s="4" t="str">
        <f>""</f>
        <v/>
      </c>
    </row>
    <row r="2991" spans="1:9" x14ac:dyDescent="0.3">
      <c r="A2991" s="1" t="str">
        <f>"77"</f>
        <v>77</v>
      </c>
      <c r="B2991" s="4" t="str">
        <f>"TRENTETROIS"</f>
        <v>TRENTETROIS</v>
      </c>
      <c r="C2991" s="4">
        <v>918702531</v>
      </c>
      <c r="D2991" s="3" t="s">
        <v>0</v>
      </c>
      <c r="E2991" s="2" t="str">
        <f>"PR7700005B"</f>
        <v>PR7700005B</v>
      </c>
      <c r="F2991" s="5">
        <v>44927</v>
      </c>
      <c r="G2991" s="5">
        <v>54789</v>
      </c>
      <c r="H2991" s="4" t="str">
        <f>""</f>
        <v/>
      </c>
      <c r="I2991" s="4" t="str">
        <f>""</f>
        <v/>
      </c>
    </row>
    <row r="2992" spans="1:9" x14ac:dyDescent="0.3">
      <c r="A2992" s="1" t="str">
        <f>"77"</f>
        <v>77</v>
      </c>
      <c r="B2992" s="4" t="str">
        <f>"TRENTETROIS"</f>
        <v>TRENTETROIS</v>
      </c>
      <c r="C2992" s="4">
        <v>918702531</v>
      </c>
      <c r="D2992" s="3" t="s">
        <v>0</v>
      </c>
      <c r="E2992" s="2" t="str">
        <f>"0006501904"</f>
        <v>0006501904</v>
      </c>
      <c r="F2992" s="5">
        <v>44927</v>
      </c>
      <c r="G2992" s="5">
        <v>54789</v>
      </c>
      <c r="H2992" s="4" t="str">
        <f>""</f>
        <v/>
      </c>
      <c r="I2992" s="4" t="str">
        <f>""</f>
        <v/>
      </c>
    </row>
    <row r="2993" spans="1:9" x14ac:dyDescent="0.3">
      <c r="A2993" s="1" t="str">
        <f>"78"</f>
        <v>78</v>
      </c>
      <c r="B2993" s="4" t="str">
        <f>"ECO MERE"</f>
        <v>ECO MERE</v>
      </c>
      <c r="C2993" s="4">
        <v>88266795</v>
      </c>
      <c r="D2993" s="3" t="s">
        <v>0</v>
      </c>
      <c r="E2993" s="2" t="str">
        <f>"PR7800025D"</f>
        <v>PR7800025D</v>
      </c>
      <c r="F2993" s="5">
        <v>45027</v>
      </c>
      <c r="G2993" s="4" t="s">
        <v>1</v>
      </c>
      <c r="H2993" s="4" t="str">
        <f>""</f>
        <v/>
      </c>
      <c r="I2993" s="4" t="str">
        <f>""</f>
        <v/>
      </c>
    </row>
    <row r="2994" spans="1:9" x14ac:dyDescent="0.3">
      <c r="A2994" s="1" t="str">
        <f>"78"</f>
        <v>78</v>
      </c>
      <c r="B2994" s="4" t="str">
        <f>"AUTO-DESTRUCTION"</f>
        <v>AUTO-DESTRUCTION</v>
      </c>
      <c r="C2994" s="4">
        <v>323196741</v>
      </c>
      <c r="D2994" s="3" t="s">
        <v>0</v>
      </c>
      <c r="E2994" s="2" t="str">
        <f>"PR7800008D"</f>
        <v>PR7800008D</v>
      </c>
      <c r="F2994" s="5">
        <v>39062</v>
      </c>
      <c r="G2994" s="5">
        <v>54789</v>
      </c>
      <c r="H2994" s="4" t="str">
        <f>""</f>
        <v/>
      </c>
      <c r="I2994" s="4" t="str">
        <f>""</f>
        <v/>
      </c>
    </row>
    <row r="2995" spans="1:9" x14ac:dyDescent="0.3">
      <c r="A2995" s="1" t="str">
        <f>"78"</f>
        <v>78</v>
      </c>
      <c r="B2995" s="4" t="str">
        <f>"AUTO-DESTRUCTION"</f>
        <v>AUTO-DESTRUCTION</v>
      </c>
      <c r="C2995" s="4">
        <v>323196741</v>
      </c>
      <c r="D2995" s="3" t="s">
        <v>0</v>
      </c>
      <c r="E2995" s="2" t="str">
        <f>"0006512407"</f>
        <v>0006512407</v>
      </c>
      <c r="F2995" s="5">
        <v>39062</v>
      </c>
      <c r="G2995" s="5">
        <v>54789</v>
      </c>
      <c r="H2995" s="4" t="str">
        <f>""</f>
        <v/>
      </c>
      <c r="I2995" s="4" t="str">
        <f>""</f>
        <v/>
      </c>
    </row>
    <row r="2996" spans="1:9" x14ac:dyDescent="0.3">
      <c r="A2996" s="1" t="str">
        <f>"78"</f>
        <v>78</v>
      </c>
      <c r="B2996" s="4" t="str">
        <f>"ROSNY AUTOMOBILES PIECES"</f>
        <v>ROSNY AUTOMOBILES PIECES</v>
      </c>
      <c r="C2996" s="4">
        <v>352211379</v>
      </c>
      <c r="D2996" s="3" t="s">
        <v>0</v>
      </c>
      <c r="E2996" s="2" t="str">
        <f>"PR7800004D"</f>
        <v>PR7800004D</v>
      </c>
      <c r="F2996" s="5">
        <v>42319</v>
      </c>
      <c r="G2996" s="5">
        <v>54789</v>
      </c>
      <c r="H2996" s="4" t="str">
        <f>""</f>
        <v/>
      </c>
      <c r="I2996" s="4" t="str">
        <f>""</f>
        <v/>
      </c>
    </row>
    <row r="2997" spans="1:9" x14ac:dyDescent="0.3">
      <c r="A2997" s="1" t="str">
        <f>"78"</f>
        <v>78</v>
      </c>
      <c r="B2997" s="4" t="str">
        <f>"ROSNY AUTOMOBILES PIECES"</f>
        <v>ROSNY AUTOMOBILES PIECES</v>
      </c>
      <c r="C2997" s="4">
        <v>352211379</v>
      </c>
      <c r="D2997" s="3" t="s">
        <v>0</v>
      </c>
      <c r="E2997" s="2" t="str">
        <f>"0006503477"</f>
        <v>0006503477</v>
      </c>
      <c r="F2997" s="5">
        <v>42319</v>
      </c>
      <c r="G2997" s="5">
        <v>54789</v>
      </c>
      <c r="H2997" s="4" t="str">
        <f>""</f>
        <v/>
      </c>
      <c r="I2997" s="4" t="str">
        <f>""</f>
        <v/>
      </c>
    </row>
    <row r="2998" spans="1:9" x14ac:dyDescent="0.3">
      <c r="A2998" s="1" t="str">
        <f>"78"</f>
        <v>78</v>
      </c>
      <c r="B2998" s="4" t="str">
        <f>"CDMA"</f>
        <v>CDMA</v>
      </c>
      <c r="C2998" s="4">
        <v>377640495</v>
      </c>
      <c r="D2998" s="3" t="s">
        <v>0</v>
      </c>
      <c r="E2998" s="2" t="str">
        <f>"PR7800007D"</f>
        <v>PR7800007D</v>
      </c>
      <c r="F2998" s="5">
        <v>39062</v>
      </c>
      <c r="G2998" s="5">
        <v>54789</v>
      </c>
      <c r="H2998" s="4" t="str">
        <f>""</f>
        <v/>
      </c>
      <c r="I2998" s="4" t="str">
        <f>""</f>
        <v/>
      </c>
    </row>
    <row r="2999" spans="1:9" x14ac:dyDescent="0.3">
      <c r="A2999" s="1" t="str">
        <f>"78"</f>
        <v>78</v>
      </c>
      <c r="B2999" s="4" t="str">
        <f>"CDMA"</f>
        <v>CDMA</v>
      </c>
      <c r="C2999" s="4">
        <v>377640495</v>
      </c>
      <c r="D2999" s="3" t="s">
        <v>0</v>
      </c>
      <c r="E2999" s="2" t="str">
        <f>"0006503189"</f>
        <v>0006503189</v>
      </c>
      <c r="F2999" s="5">
        <v>39062</v>
      </c>
      <c r="G2999" s="5">
        <v>54789</v>
      </c>
      <c r="H2999" s="4" t="str">
        <f>""</f>
        <v/>
      </c>
      <c r="I2999" s="4" t="str">
        <f>""</f>
        <v/>
      </c>
    </row>
    <row r="3000" spans="1:9" x14ac:dyDescent="0.3">
      <c r="A3000" s="1" t="str">
        <f>"78"</f>
        <v>78</v>
      </c>
      <c r="B3000" s="4" t="str">
        <f>"FER HARRY"</f>
        <v>FER HARRY</v>
      </c>
      <c r="C3000" s="4">
        <v>389063447</v>
      </c>
      <c r="D3000" s="3" t="s">
        <v>0</v>
      </c>
      <c r="E3000" s="2" t="str">
        <f>"PR7800011D"</f>
        <v>PR7800011D</v>
      </c>
      <c r="F3000" s="5">
        <v>39644</v>
      </c>
      <c r="G3000" s="5">
        <v>54789</v>
      </c>
      <c r="H3000" s="4" t="str">
        <f>""</f>
        <v/>
      </c>
      <c r="I3000" s="4" t="str">
        <f>""</f>
        <v/>
      </c>
    </row>
    <row r="3001" spans="1:9" x14ac:dyDescent="0.3">
      <c r="A3001" s="1" t="str">
        <f>"78"</f>
        <v>78</v>
      </c>
      <c r="B3001" s="4" t="str">
        <f>"FER HARRY"</f>
        <v>FER HARRY</v>
      </c>
      <c r="C3001" s="4">
        <v>389063447</v>
      </c>
      <c r="D3001" s="3" t="s">
        <v>0</v>
      </c>
      <c r="E3001" s="2" t="str">
        <f>"0006506726"</f>
        <v>0006506726</v>
      </c>
      <c r="F3001" s="5">
        <v>39644</v>
      </c>
      <c r="G3001" s="5">
        <v>54789</v>
      </c>
      <c r="H3001" s="4" t="str">
        <f>""</f>
        <v/>
      </c>
      <c r="I3001" s="4" t="str">
        <f>""</f>
        <v/>
      </c>
    </row>
    <row r="3002" spans="1:9" x14ac:dyDescent="0.3">
      <c r="A3002" s="1" t="str">
        <f>"78"</f>
        <v>78</v>
      </c>
      <c r="B3002" s="4" t="str">
        <f>"MOTO MAQUINA"</f>
        <v>MOTO MAQUINA</v>
      </c>
      <c r="C3002" s="4">
        <v>403890023</v>
      </c>
      <c r="D3002" s="3" t="s">
        <v>0</v>
      </c>
      <c r="E3002" s="2" t="str">
        <f>"0006517347"</f>
        <v>0006517347</v>
      </c>
      <c r="F3002" s="5">
        <v>41740</v>
      </c>
      <c r="G3002" s="5">
        <v>54789</v>
      </c>
      <c r="H3002" s="4" t="str">
        <f>""</f>
        <v/>
      </c>
      <c r="I3002" s="4" t="str">
        <f>""</f>
        <v/>
      </c>
    </row>
    <row r="3003" spans="1:9" x14ac:dyDescent="0.3">
      <c r="A3003" s="1" t="str">
        <f>"78"</f>
        <v>78</v>
      </c>
      <c r="B3003" s="4" t="str">
        <f>"A.M.F.ACHATS METAUX FERRAILLES"</f>
        <v>A.M.F.ACHATS METAUX FERRAILLES</v>
      </c>
      <c r="C3003" s="4">
        <v>407494780</v>
      </c>
      <c r="D3003" s="3" t="s">
        <v>0</v>
      </c>
      <c r="E3003" s="2" t="str">
        <f>"PR7800021D"</f>
        <v>PR7800021D</v>
      </c>
      <c r="F3003" s="5">
        <v>41960</v>
      </c>
      <c r="G3003" s="5">
        <v>54789</v>
      </c>
      <c r="H3003" s="4" t="str">
        <f>""</f>
        <v/>
      </c>
      <c r="I3003" s="4" t="str">
        <f>""</f>
        <v/>
      </c>
    </row>
    <row r="3004" spans="1:9" x14ac:dyDescent="0.3">
      <c r="A3004" s="1" t="str">
        <f>"78"</f>
        <v>78</v>
      </c>
      <c r="B3004" s="4" t="str">
        <f>"A.M.F. ACHATS METAUX FERRAILLES"</f>
        <v>A.M.F. ACHATS METAUX FERRAILLES</v>
      </c>
      <c r="C3004" s="4">
        <v>407494780</v>
      </c>
      <c r="D3004" s="3" t="s">
        <v>0</v>
      </c>
      <c r="E3004" s="2" t="str">
        <f>"0006511040"</f>
        <v>0006511040</v>
      </c>
      <c r="F3004" s="5">
        <v>41960</v>
      </c>
      <c r="G3004" s="5">
        <v>54789</v>
      </c>
      <c r="H3004" s="4" t="str">
        <f>""</f>
        <v/>
      </c>
      <c r="I3004" s="4" t="str">
        <f>""</f>
        <v/>
      </c>
    </row>
    <row r="3005" spans="1:9" x14ac:dyDescent="0.3">
      <c r="A3005" s="1" t="str">
        <f>"78"</f>
        <v>78</v>
      </c>
      <c r="B3005" s="4" t="str">
        <f>"SOBELOC AUTIN SAS"</f>
        <v>SOBELOC AUTIN SAS</v>
      </c>
      <c r="C3005" s="4">
        <v>415110089</v>
      </c>
      <c r="D3005" s="3" t="s">
        <v>0</v>
      </c>
      <c r="E3005" s="2" t="str">
        <f>"PR7800023D"</f>
        <v>PR7800023D</v>
      </c>
      <c r="F3005" s="5">
        <v>42166</v>
      </c>
      <c r="G3005" s="4" t="s">
        <v>1</v>
      </c>
      <c r="H3005" s="4" t="str">
        <f>""</f>
        <v/>
      </c>
      <c r="I3005" s="4" t="str">
        <f>""</f>
        <v/>
      </c>
    </row>
    <row r="3006" spans="1:9" x14ac:dyDescent="0.3">
      <c r="A3006" s="1" t="str">
        <f>"78"</f>
        <v>78</v>
      </c>
      <c r="B3006" s="4" t="str">
        <f>"SOBELOC AUTIN SAS"</f>
        <v>SOBELOC AUTIN SAS</v>
      </c>
      <c r="C3006" s="4">
        <v>415110089</v>
      </c>
      <c r="D3006" s="3" t="s">
        <v>0</v>
      </c>
      <c r="E3006" s="2" t="str">
        <f>"0006511836"</f>
        <v>0006511836</v>
      </c>
      <c r="F3006" s="5">
        <v>42166</v>
      </c>
      <c r="G3006" s="4" t="s">
        <v>1</v>
      </c>
      <c r="H3006" s="4" t="str">
        <f>""</f>
        <v/>
      </c>
      <c r="I3006" s="4" t="str">
        <f>""</f>
        <v/>
      </c>
    </row>
    <row r="3007" spans="1:9" x14ac:dyDescent="0.3">
      <c r="A3007" s="1" t="str">
        <f>"78"</f>
        <v>78</v>
      </c>
      <c r="B3007" s="4" t="str">
        <f>"RN12 AUTO"</f>
        <v>RN12 AUTO</v>
      </c>
      <c r="C3007" s="4">
        <v>432183069</v>
      </c>
      <c r="D3007" s="3" t="s">
        <v>0</v>
      </c>
      <c r="E3007" s="2" t="str">
        <f>"PR7800001D"</f>
        <v>PR7800001D</v>
      </c>
      <c r="F3007" s="5">
        <v>43005</v>
      </c>
      <c r="G3007" s="5">
        <v>54789</v>
      </c>
      <c r="H3007" s="4" t="str">
        <f>""</f>
        <v/>
      </c>
      <c r="I3007" s="4" t="str">
        <f>""</f>
        <v/>
      </c>
    </row>
    <row r="3008" spans="1:9" x14ac:dyDescent="0.3">
      <c r="A3008" s="1" t="str">
        <f>"78"</f>
        <v>78</v>
      </c>
      <c r="B3008" s="4" t="str">
        <f>"RN12 AUTO"</f>
        <v>RN12 AUTO</v>
      </c>
      <c r="C3008" s="4">
        <v>432183069</v>
      </c>
      <c r="D3008" s="3" t="s">
        <v>0</v>
      </c>
      <c r="E3008" s="2" t="str">
        <f>"0006510557"</f>
        <v>0006510557</v>
      </c>
      <c r="F3008" s="5">
        <v>43005</v>
      </c>
      <c r="G3008" s="5">
        <v>54789</v>
      </c>
      <c r="H3008" s="4" t="str">
        <f>""</f>
        <v/>
      </c>
      <c r="I3008" s="4" t="str">
        <f>""</f>
        <v/>
      </c>
    </row>
    <row r="3009" spans="1:9" x14ac:dyDescent="0.3">
      <c r="A3009" s="1" t="str">
        <f>"78"</f>
        <v>78</v>
      </c>
      <c r="B3009" s="4" t="str">
        <f>"AUTOPIECES DES MUREAUX"</f>
        <v>AUTOPIECES DES MUREAUX</v>
      </c>
      <c r="C3009" s="4">
        <v>443853866</v>
      </c>
      <c r="D3009" s="3" t="s">
        <v>0</v>
      </c>
      <c r="E3009" s="2" t="str">
        <f>"PR7800005D"</f>
        <v>PR7800005D</v>
      </c>
      <c r="F3009" s="5">
        <v>43439</v>
      </c>
      <c r="G3009" s="5">
        <v>54789</v>
      </c>
      <c r="H3009" s="4" t="str">
        <f>""</f>
        <v/>
      </c>
      <c r="I3009" s="4" t="str">
        <f>""</f>
        <v/>
      </c>
    </row>
    <row r="3010" spans="1:9" x14ac:dyDescent="0.3">
      <c r="A3010" s="1" t="str">
        <f>"78"</f>
        <v>78</v>
      </c>
      <c r="B3010" s="4" t="str">
        <f>"AUTOPIECES DES MUREAUX"</f>
        <v>AUTOPIECES DES MUREAUX</v>
      </c>
      <c r="C3010" s="4">
        <v>443853866</v>
      </c>
      <c r="D3010" s="3" t="s">
        <v>0</v>
      </c>
      <c r="E3010" s="2" t="str">
        <f>"0006503398"</f>
        <v>0006503398</v>
      </c>
      <c r="F3010" s="5">
        <v>43439</v>
      </c>
      <c r="G3010" s="5">
        <v>54789</v>
      </c>
      <c r="H3010" s="4" t="str">
        <f>""</f>
        <v/>
      </c>
      <c r="I3010" s="4" t="str">
        <f>""</f>
        <v/>
      </c>
    </row>
    <row r="3011" spans="1:9" x14ac:dyDescent="0.3">
      <c r="A3011" s="1" t="str">
        <f>"78"</f>
        <v>78</v>
      </c>
      <c r="B3011" s="4" t="str">
        <f>"CHRISTIAN RECUPER"</f>
        <v>CHRISTIAN RECUPER</v>
      </c>
      <c r="C3011" s="4">
        <v>493138283</v>
      </c>
      <c r="D3011" s="3" t="s">
        <v>0</v>
      </c>
      <c r="E3011" s="2" t="str">
        <f>"PR7800019D"</f>
        <v>PR7800019D</v>
      </c>
      <c r="F3011" s="5">
        <v>42893</v>
      </c>
      <c r="G3011" s="5">
        <v>54789</v>
      </c>
      <c r="H3011" s="4" t="str">
        <f>""</f>
        <v/>
      </c>
      <c r="I3011" s="4" t="str">
        <f>""</f>
        <v/>
      </c>
    </row>
    <row r="3012" spans="1:9" x14ac:dyDescent="0.3">
      <c r="A3012" s="1" t="str">
        <f>"78"</f>
        <v>78</v>
      </c>
      <c r="B3012" s="4" t="str">
        <f>"CHRISTIAN RECUPER"</f>
        <v>CHRISTIAN RECUPER</v>
      </c>
      <c r="C3012" s="4">
        <v>493138283</v>
      </c>
      <c r="D3012" s="3" t="s">
        <v>0</v>
      </c>
      <c r="E3012" s="2" t="str">
        <f>"0006515101"</f>
        <v>0006515101</v>
      </c>
      <c r="F3012" s="5">
        <v>42893</v>
      </c>
      <c r="G3012" s="5">
        <v>54789</v>
      </c>
      <c r="H3012" s="4" t="str">
        <f>""</f>
        <v/>
      </c>
      <c r="I3012" s="4" t="str">
        <f>""</f>
        <v/>
      </c>
    </row>
    <row r="3013" spans="1:9" x14ac:dyDescent="0.3">
      <c r="A3013" s="1" t="str">
        <f>"78"</f>
        <v>78</v>
      </c>
      <c r="B3013" s="4" t="str">
        <f>"GUAINVILLE RECUPER"</f>
        <v>GUAINVILLE RECUPER</v>
      </c>
      <c r="C3013" s="4">
        <v>514422542</v>
      </c>
      <c r="D3013" s="3" t="s">
        <v>0</v>
      </c>
      <c r="E3013" s="2" t="str">
        <f>"PR7800018D"</f>
        <v>PR7800018D</v>
      </c>
      <c r="F3013" s="5">
        <v>40610</v>
      </c>
      <c r="G3013" s="5">
        <v>54789</v>
      </c>
      <c r="H3013" s="4" t="str">
        <f>""</f>
        <v/>
      </c>
      <c r="I3013" s="4" t="str">
        <f>""</f>
        <v/>
      </c>
    </row>
    <row r="3014" spans="1:9" x14ac:dyDescent="0.3">
      <c r="A3014" s="1" t="str">
        <f>"78"</f>
        <v>78</v>
      </c>
      <c r="B3014" s="4" t="str">
        <f>"GUAINVILLE RECUPER"</f>
        <v>GUAINVILLE RECUPER</v>
      </c>
      <c r="C3014" s="4">
        <v>514422542</v>
      </c>
      <c r="D3014" s="3" t="s">
        <v>0</v>
      </c>
      <c r="E3014" s="2" t="str">
        <f>"0006514152"</f>
        <v>0006514152</v>
      </c>
      <c r="F3014" s="5">
        <v>40610</v>
      </c>
      <c r="G3014" s="5">
        <v>54789</v>
      </c>
      <c r="H3014" s="4" t="str">
        <f>""</f>
        <v/>
      </c>
      <c r="I3014" s="4" t="str">
        <f>""</f>
        <v/>
      </c>
    </row>
    <row r="3015" spans="1:9" x14ac:dyDescent="0.3">
      <c r="A3015" s="1" t="str">
        <f>"78"</f>
        <v>78</v>
      </c>
      <c r="B3015" s="4" t="str">
        <f>"REVIVAL"</f>
        <v>REVIVAL</v>
      </c>
      <c r="C3015" s="4">
        <v>616620092</v>
      </c>
      <c r="D3015" s="3" t="s">
        <v>0</v>
      </c>
      <c r="E3015" s="2" t="str">
        <f>"PR7800015D"</f>
        <v>PR7800015D</v>
      </c>
      <c r="F3015" s="5">
        <v>45440</v>
      </c>
      <c r="G3015" s="5">
        <v>54789</v>
      </c>
      <c r="H3015" s="4" t="str">
        <f>""</f>
        <v/>
      </c>
      <c r="I3015" s="4" t="str">
        <f>""</f>
        <v/>
      </c>
    </row>
    <row r="3016" spans="1:9" x14ac:dyDescent="0.3">
      <c r="A3016" s="1" t="str">
        <f>"78"</f>
        <v>78</v>
      </c>
      <c r="B3016" s="4" t="str">
        <f>"REVIVAL"</f>
        <v>REVIVAL</v>
      </c>
      <c r="C3016" s="4">
        <v>616620092</v>
      </c>
      <c r="D3016" s="3" t="s">
        <v>0</v>
      </c>
      <c r="E3016" s="2" t="str">
        <f>"0006503319"</f>
        <v>0006503319</v>
      </c>
      <c r="F3016" s="5">
        <v>45440</v>
      </c>
      <c r="G3016" s="5">
        <v>54789</v>
      </c>
      <c r="H3016" s="4" t="str">
        <f>""</f>
        <v/>
      </c>
      <c r="I3016" s="4" t="str">
        <f>""</f>
        <v/>
      </c>
    </row>
    <row r="3017" spans="1:9" x14ac:dyDescent="0.3">
      <c r="A3017" s="1" t="str">
        <f>"78"</f>
        <v>78</v>
      </c>
      <c r="B3017" s="4" t="str">
        <f>"REVIVAL"</f>
        <v>REVIVAL</v>
      </c>
      <c r="C3017" s="4">
        <v>616620092</v>
      </c>
      <c r="D3017" s="3" t="s">
        <v>0</v>
      </c>
      <c r="E3017" s="2" t="str">
        <f>"PR7800003B"</f>
        <v>PR7800003B</v>
      </c>
      <c r="F3017" s="5">
        <v>45040</v>
      </c>
      <c r="G3017" s="5">
        <v>54789</v>
      </c>
      <c r="H3017" s="4" t="str">
        <f>""</f>
        <v/>
      </c>
      <c r="I3017" s="4" t="str">
        <f>""</f>
        <v/>
      </c>
    </row>
    <row r="3018" spans="1:9" x14ac:dyDescent="0.3">
      <c r="A3018" s="1" t="str">
        <f>"78"</f>
        <v>78</v>
      </c>
      <c r="B3018" s="4" t="str">
        <f>"REVIVAL"</f>
        <v>REVIVAL</v>
      </c>
      <c r="C3018" s="4">
        <v>616620092</v>
      </c>
      <c r="D3018" s="3" t="s">
        <v>0</v>
      </c>
      <c r="E3018" s="2" t="str">
        <f>"0006512345"</f>
        <v>0006512345</v>
      </c>
      <c r="F3018" s="5">
        <v>45040</v>
      </c>
      <c r="G3018" s="5">
        <v>54789</v>
      </c>
      <c r="H3018" s="4" t="str">
        <f>""</f>
        <v/>
      </c>
      <c r="I3018" s="4" t="str">
        <f>""</f>
        <v/>
      </c>
    </row>
    <row r="3019" spans="1:9" x14ac:dyDescent="0.3">
      <c r="A3019" s="1" t="str">
        <f>"78"</f>
        <v>78</v>
      </c>
      <c r="B3019" s="4" t="str">
        <f>"ACIERIES ET LAMINOIRS DE PARIS ALPA"</f>
        <v>ACIERIES ET LAMINOIRS DE PARIS ALPA</v>
      </c>
      <c r="C3019" s="4">
        <v>777345091</v>
      </c>
      <c r="D3019" s="3" t="s">
        <v>0</v>
      </c>
      <c r="E3019" s="2" t="str">
        <f>"PR7800002B"</f>
        <v>PR7800002B</v>
      </c>
      <c r="F3019" s="5">
        <v>41346</v>
      </c>
      <c r="G3019" s="5">
        <v>54789</v>
      </c>
      <c r="H3019" s="4" t="str">
        <f>""</f>
        <v/>
      </c>
      <c r="I3019" s="4" t="str">
        <f>""</f>
        <v/>
      </c>
    </row>
    <row r="3020" spans="1:9" x14ac:dyDescent="0.3">
      <c r="A3020" s="1" t="str">
        <f>"78"</f>
        <v>78</v>
      </c>
      <c r="B3020" s="4" t="str">
        <f>"ACIERIES ET LAMINOIRS DE PARIS ALPA"</f>
        <v>ACIERIES ET LAMINOIRS DE PARIS ALPA</v>
      </c>
      <c r="C3020" s="4">
        <v>777345091</v>
      </c>
      <c r="D3020" s="3" t="s">
        <v>0</v>
      </c>
      <c r="E3020" s="2" t="str">
        <f>"0006503465"</f>
        <v>0006503465</v>
      </c>
      <c r="F3020" s="5">
        <v>41346</v>
      </c>
      <c r="G3020" s="5">
        <v>54789</v>
      </c>
      <c r="H3020" s="4" t="str">
        <f>""</f>
        <v/>
      </c>
      <c r="I3020" s="4" t="str">
        <f>""</f>
        <v/>
      </c>
    </row>
    <row r="3021" spans="1:9" x14ac:dyDescent="0.3">
      <c r="A3021" s="1" t="str">
        <f>"78"</f>
        <v>78</v>
      </c>
      <c r="B3021" s="4" t="str">
        <f>"RME"</f>
        <v>RME</v>
      </c>
      <c r="C3021" s="4">
        <v>824122469</v>
      </c>
      <c r="D3021" s="3" t="s">
        <v>0</v>
      </c>
      <c r="E3021" s="2" t="str">
        <f>"PR7800024D"</f>
        <v>PR7800024D</v>
      </c>
      <c r="F3021" s="5">
        <v>43392</v>
      </c>
      <c r="G3021" s="5">
        <v>54789</v>
      </c>
      <c r="H3021" s="4" t="str">
        <f>""</f>
        <v/>
      </c>
      <c r="I3021" s="4" t="str">
        <f>""</f>
        <v/>
      </c>
    </row>
    <row r="3022" spans="1:9" x14ac:dyDescent="0.3">
      <c r="A3022" s="1" t="str">
        <f>"78"</f>
        <v>78</v>
      </c>
      <c r="B3022" s="4" t="str">
        <f>"RME"</f>
        <v>RME</v>
      </c>
      <c r="C3022" s="4">
        <v>824122469</v>
      </c>
      <c r="D3022" s="3" t="s">
        <v>0</v>
      </c>
      <c r="E3022" s="2" t="str">
        <f>"0006522071"</f>
        <v>0006522071</v>
      </c>
      <c r="F3022" s="5">
        <v>43392</v>
      </c>
      <c r="G3022" s="5">
        <v>54789</v>
      </c>
      <c r="H3022" s="4" t="str">
        <f>""</f>
        <v/>
      </c>
      <c r="I3022" s="4" t="str">
        <f>""</f>
        <v/>
      </c>
    </row>
    <row r="3023" spans="1:9" x14ac:dyDescent="0.3">
      <c r="A3023" s="1" t="str">
        <f>"78"</f>
        <v>78</v>
      </c>
      <c r="B3023" s="4" t="str">
        <f>"ECO MERE"</f>
        <v>ECO MERE</v>
      </c>
      <c r="C3023" s="4">
        <v>882666795</v>
      </c>
      <c r="D3023" s="3" t="s">
        <v>0</v>
      </c>
      <c r="E3023" s="2" t="str">
        <f>"100005181"</f>
        <v>100005181</v>
      </c>
      <c r="F3023" s="5">
        <v>45027</v>
      </c>
      <c r="G3023" s="4" t="s">
        <v>1</v>
      </c>
      <c r="H3023" s="4" t="str">
        <f>""</f>
        <v/>
      </c>
      <c r="I3023" s="4" t="str">
        <f>""</f>
        <v/>
      </c>
    </row>
    <row r="3024" spans="1:9" x14ac:dyDescent="0.3">
      <c r="A3024" s="1" t="str">
        <f>"79"</f>
        <v>79</v>
      </c>
      <c r="B3024" s="4" t="str">
        <f>"SAS FERS"</f>
        <v>SAS FERS</v>
      </c>
      <c r="C3024" s="4">
        <v>62200753</v>
      </c>
      <c r="D3024" s="3" t="s">
        <v>0</v>
      </c>
      <c r="E3024" s="2" t="str">
        <f>"PR7900015D"</f>
        <v>PR7900015D</v>
      </c>
      <c r="F3024" s="5">
        <v>42278</v>
      </c>
      <c r="G3024" s="5">
        <v>54789</v>
      </c>
      <c r="H3024" s="4" t="str">
        <f>""</f>
        <v/>
      </c>
      <c r="I3024" s="4" t="str">
        <f>""</f>
        <v/>
      </c>
    </row>
    <row r="3025" spans="1:9" x14ac:dyDescent="0.3">
      <c r="A3025" s="1" t="str">
        <f>"79"</f>
        <v>79</v>
      </c>
      <c r="B3025" s="4" t="str">
        <f>"SAS FERS"</f>
        <v>SAS FERS</v>
      </c>
      <c r="C3025" s="4">
        <v>62200753</v>
      </c>
      <c r="D3025" s="3" t="s">
        <v>0</v>
      </c>
      <c r="E3025" s="2" t="str">
        <f>"00072007907"</f>
        <v>00072007907</v>
      </c>
      <c r="F3025" s="5">
        <v>40017</v>
      </c>
      <c r="G3025" s="5">
        <v>54789</v>
      </c>
      <c r="H3025" s="4" t="str">
        <f>""</f>
        <v/>
      </c>
      <c r="I3025" s="4" t="str">
        <f>""</f>
        <v/>
      </c>
    </row>
    <row r="3026" spans="1:9" x14ac:dyDescent="0.3">
      <c r="A3026" s="1" t="str">
        <f>"79"</f>
        <v>79</v>
      </c>
      <c r="B3026" s="4" t="str">
        <f>"SARL HOUDELOT NEGOCE"</f>
        <v>SARL HOUDELOT NEGOCE</v>
      </c>
      <c r="C3026" s="4">
        <v>337834246</v>
      </c>
      <c r="D3026" s="3" t="s">
        <v>0</v>
      </c>
      <c r="E3026" s="2" t="str">
        <f>"0007202164"</f>
        <v>0007202164</v>
      </c>
      <c r="F3026" s="5">
        <v>39904</v>
      </c>
      <c r="G3026" s="5">
        <v>54789</v>
      </c>
      <c r="H3026" s="4" t="str">
        <f>""</f>
        <v/>
      </c>
      <c r="I3026" s="4" t="str">
        <f>""</f>
        <v/>
      </c>
    </row>
    <row r="3027" spans="1:9" x14ac:dyDescent="0.3">
      <c r="A3027" s="1" t="str">
        <f>"79"</f>
        <v>79</v>
      </c>
      <c r="B3027" s="4" t="str">
        <f>"SARL HOUDELOT NEGOCE"</f>
        <v>SARL HOUDELOT NEGOCE</v>
      </c>
      <c r="C3027" s="4">
        <v>337834246</v>
      </c>
      <c r="D3027" s="3" t="s">
        <v>0</v>
      </c>
      <c r="E3027" s="2" t="str">
        <f>"PR7900014D"</f>
        <v>PR7900014D</v>
      </c>
      <c r="F3027" s="5">
        <v>39904</v>
      </c>
      <c r="G3027" s="5">
        <v>54789</v>
      </c>
      <c r="H3027" s="4" t="str">
        <f>""</f>
        <v/>
      </c>
      <c r="I3027" s="4" t="str">
        <f>""</f>
        <v/>
      </c>
    </row>
    <row r="3028" spans="1:9" x14ac:dyDescent="0.3">
      <c r="A3028" s="1" t="str">
        <f>"79"</f>
        <v>79</v>
      </c>
      <c r="B3028" s="4" t="str">
        <f>"SAS GENEVE OCCASION"</f>
        <v>SAS GENEVE OCCASION</v>
      </c>
      <c r="C3028" s="4">
        <v>338030851</v>
      </c>
      <c r="D3028" s="3" t="s">
        <v>0</v>
      </c>
      <c r="E3028" s="2" t="str">
        <f>"0007202515"</f>
        <v>0007202515</v>
      </c>
      <c r="F3028" s="5">
        <v>40961</v>
      </c>
      <c r="G3028" s="5">
        <v>54789</v>
      </c>
      <c r="H3028" s="4" t="str">
        <f>""</f>
        <v/>
      </c>
      <c r="I3028" s="4" t="str">
        <f>""</f>
        <v/>
      </c>
    </row>
    <row r="3029" spans="1:9" x14ac:dyDescent="0.3">
      <c r="A3029" s="1" t="str">
        <f>"79"</f>
        <v>79</v>
      </c>
      <c r="B3029" s="4" t="str">
        <f>"SAS GENEVE OCCASION"</f>
        <v>SAS GENEVE OCCASION</v>
      </c>
      <c r="C3029" s="4">
        <v>338030851</v>
      </c>
      <c r="D3029" s="3" t="s">
        <v>0</v>
      </c>
      <c r="E3029" s="2" t="str">
        <f>"PR7900001D"</f>
        <v>PR7900001D</v>
      </c>
      <c r="F3029" s="5">
        <v>38776</v>
      </c>
      <c r="G3029" s="5">
        <v>54789</v>
      </c>
      <c r="H3029" s="4" t="str">
        <f>""</f>
        <v/>
      </c>
      <c r="I3029" s="4" t="str">
        <f>""</f>
        <v/>
      </c>
    </row>
    <row r="3030" spans="1:9" x14ac:dyDescent="0.3">
      <c r="A3030" s="1" t="str">
        <f>"79"</f>
        <v>79</v>
      </c>
      <c r="B3030" s="4" t="str">
        <f>"SAS ROUVREAU RECYCLAGE"</f>
        <v>SAS ROUVREAU RECYCLAGE</v>
      </c>
      <c r="C3030" s="4">
        <v>349469965</v>
      </c>
      <c r="D3030" s="3" t="s">
        <v>0</v>
      </c>
      <c r="E3030" s="2" t="str">
        <f>"0007201484"</f>
        <v>0007201484</v>
      </c>
      <c r="F3030" s="5">
        <v>38839</v>
      </c>
      <c r="G3030" s="5">
        <v>54789</v>
      </c>
      <c r="H3030" s="4" t="str">
        <f>""</f>
        <v/>
      </c>
      <c r="I3030" s="4" t="str">
        <f>""</f>
        <v/>
      </c>
    </row>
    <row r="3031" spans="1:9" x14ac:dyDescent="0.3">
      <c r="A3031" s="1" t="str">
        <f>"79"</f>
        <v>79</v>
      </c>
      <c r="B3031" s="4" t="str">
        <f>"SAS ROUVREAU RECYCLAGE"</f>
        <v>SAS ROUVREAU RECYCLAGE</v>
      </c>
      <c r="C3031" s="4">
        <v>349469965</v>
      </c>
      <c r="D3031" s="3" t="s">
        <v>0</v>
      </c>
      <c r="E3031" s="2" t="str">
        <f>"PR7900002D"</f>
        <v>PR7900002D</v>
      </c>
      <c r="F3031" s="5">
        <v>38839</v>
      </c>
      <c r="G3031" s="5">
        <v>54789</v>
      </c>
      <c r="H3031" s="4" t="str">
        <f>""</f>
        <v/>
      </c>
      <c r="I3031" s="4" t="str">
        <f>""</f>
        <v/>
      </c>
    </row>
    <row r="3032" spans="1:9" x14ac:dyDescent="0.3">
      <c r="A3032" s="1" t="str">
        <f>"79"</f>
        <v>79</v>
      </c>
      <c r="B3032" s="4" t="str">
        <f>"RTG"</f>
        <v>RTG</v>
      </c>
      <c r="C3032" s="4">
        <v>378283030</v>
      </c>
      <c r="D3032" s="3" t="s">
        <v>0</v>
      </c>
      <c r="E3032" s="2" t="str">
        <f>"PR7900004D"</f>
        <v>PR7900004D</v>
      </c>
      <c r="F3032" s="5">
        <v>38860</v>
      </c>
      <c r="G3032" s="5">
        <v>54789</v>
      </c>
      <c r="H3032" s="4" t="str">
        <f>""</f>
        <v/>
      </c>
      <c r="I3032" s="4" t="str">
        <f>""</f>
        <v/>
      </c>
    </row>
    <row r="3033" spans="1:9" x14ac:dyDescent="0.3">
      <c r="A3033" s="1" t="str">
        <f>"79"</f>
        <v>79</v>
      </c>
      <c r="B3033" s="4" t="str">
        <f>"RTG"</f>
        <v>RTG</v>
      </c>
      <c r="C3033" s="4">
        <v>378283030</v>
      </c>
      <c r="D3033" s="3" t="s">
        <v>0</v>
      </c>
      <c r="E3033" s="2" t="str">
        <f>"0007202872"</f>
        <v>0007202872</v>
      </c>
      <c r="F3033" s="5">
        <v>38860</v>
      </c>
      <c r="G3033" s="5">
        <v>54789</v>
      </c>
      <c r="H3033" s="4" t="str">
        <f>""</f>
        <v/>
      </c>
      <c r="I3033" s="4" t="str">
        <f>""</f>
        <v/>
      </c>
    </row>
    <row r="3034" spans="1:9" x14ac:dyDescent="0.3">
      <c r="A3034" s="1" t="str">
        <f>"79"</f>
        <v>79</v>
      </c>
      <c r="B3034" s="4" t="str">
        <f>"AFM RECYCLAGE"</f>
        <v>AFM RECYCLAGE</v>
      </c>
      <c r="C3034" s="4">
        <v>383482635</v>
      </c>
      <c r="D3034" s="3" t="s">
        <v>0</v>
      </c>
      <c r="E3034" s="2" t="str">
        <f>"0007206042"</f>
        <v>0007206042</v>
      </c>
      <c r="F3034" s="5">
        <v>43080</v>
      </c>
      <c r="G3034" s="5">
        <v>54789</v>
      </c>
      <c r="H3034" s="4" t="str">
        <f>""</f>
        <v/>
      </c>
      <c r="I3034" s="4" t="str">
        <f>""</f>
        <v/>
      </c>
    </row>
    <row r="3035" spans="1:9" x14ac:dyDescent="0.3">
      <c r="A3035" s="1" t="str">
        <f>"79"</f>
        <v>79</v>
      </c>
      <c r="B3035" s="4" t="str">
        <f>"AFM RECYCLAGE"</f>
        <v>AFM RECYCLAGE</v>
      </c>
      <c r="C3035" s="4">
        <v>383482635</v>
      </c>
      <c r="D3035" s="3" t="s">
        <v>0</v>
      </c>
      <c r="E3035" s="2" t="str">
        <f>"PR7900016D"</f>
        <v>PR7900016D</v>
      </c>
      <c r="F3035" s="5">
        <v>43080</v>
      </c>
      <c r="G3035" s="5">
        <v>54789</v>
      </c>
      <c r="H3035" s="4" t="str">
        <f>""</f>
        <v/>
      </c>
      <c r="I3035" s="4" t="str">
        <f>""</f>
        <v/>
      </c>
    </row>
    <row r="3036" spans="1:9" x14ac:dyDescent="0.3">
      <c r="A3036" s="1" t="str">
        <f>"79"</f>
        <v>79</v>
      </c>
      <c r="B3036" s="4" t="str">
        <f>"ABC DEMOLITION AUTO"</f>
        <v>ABC DEMOLITION AUTO</v>
      </c>
      <c r="C3036" s="4">
        <v>385275417</v>
      </c>
      <c r="D3036" s="3" t="s">
        <v>0</v>
      </c>
      <c r="E3036" s="2" t="str">
        <f>"PR7900010D"</f>
        <v>PR7900010D</v>
      </c>
      <c r="F3036" s="5">
        <v>41631</v>
      </c>
      <c r="G3036" s="5">
        <v>54789</v>
      </c>
      <c r="H3036" s="4" t="str">
        <f>""</f>
        <v/>
      </c>
      <c r="I3036" s="4" t="str">
        <f>""</f>
        <v/>
      </c>
    </row>
    <row r="3037" spans="1:9" x14ac:dyDescent="0.3">
      <c r="A3037" s="1" t="str">
        <f>"79"</f>
        <v>79</v>
      </c>
      <c r="B3037" s="4" t="str">
        <f>"SAS ABC DEMOLITION AUTO ET RECYCLAGES"</f>
        <v>SAS ABC DEMOLITION AUTO ET RECYCLAGES</v>
      </c>
      <c r="C3037" s="4">
        <v>385275417</v>
      </c>
      <c r="D3037" s="3" t="s">
        <v>0</v>
      </c>
      <c r="E3037" s="2" t="str">
        <f>"PR7900019D"</f>
        <v>PR7900019D</v>
      </c>
      <c r="F3037" s="5">
        <v>44011</v>
      </c>
      <c r="G3037" s="5">
        <v>54789</v>
      </c>
      <c r="H3037" s="4" t="str">
        <f>""</f>
        <v/>
      </c>
      <c r="I3037" s="4" t="str">
        <f>""</f>
        <v/>
      </c>
    </row>
    <row r="3038" spans="1:9" x14ac:dyDescent="0.3">
      <c r="A3038" s="1" t="str">
        <f>"79"</f>
        <v>79</v>
      </c>
      <c r="B3038" s="4" t="str">
        <f>"SAS ABC DEMOLITION AUTO ET RECYCLAGES"</f>
        <v>SAS ABC DEMOLITION AUTO ET RECYCLAGES</v>
      </c>
      <c r="C3038" s="4">
        <v>385275417</v>
      </c>
      <c r="D3038" s="3" t="s">
        <v>0</v>
      </c>
      <c r="E3038" s="2" t="str">
        <f>"0007202428"</f>
        <v>0007202428</v>
      </c>
      <c r="F3038" s="5">
        <v>44011</v>
      </c>
      <c r="G3038" s="5">
        <v>54789</v>
      </c>
      <c r="H3038" s="4" t="str">
        <f>""</f>
        <v/>
      </c>
      <c r="I3038" s="4" t="str">
        <f>""</f>
        <v/>
      </c>
    </row>
    <row r="3039" spans="1:9" x14ac:dyDescent="0.3">
      <c r="A3039" s="1" t="str">
        <f>"79"</f>
        <v>79</v>
      </c>
      <c r="B3039" s="4" t="str">
        <f>"TOP AUTO"</f>
        <v>TOP AUTO</v>
      </c>
      <c r="C3039" s="4">
        <v>399890748</v>
      </c>
      <c r="D3039" s="3" t="s">
        <v>0</v>
      </c>
      <c r="E3039" s="2" t="str">
        <f>"0007204193"</f>
        <v>0007204193</v>
      </c>
      <c r="F3039" s="5">
        <v>38866</v>
      </c>
      <c r="G3039" s="5">
        <v>54789</v>
      </c>
      <c r="H3039" s="4" t="str">
        <f>""</f>
        <v/>
      </c>
      <c r="I3039" s="4" t="str">
        <f>""</f>
        <v/>
      </c>
    </row>
    <row r="3040" spans="1:9" x14ac:dyDescent="0.3">
      <c r="A3040" s="1" t="str">
        <f>"79"</f>
        <v>79</v>
      </c>
      <c r="B3040" s="4" t="str">
        <f>"TOP AUTO"</f>
        <v>TOP AUTO</v>
      </c>
      <c r="C3040" s="4">
        <v>399890748</v>
      </c>
      <c r="D3040" s="3" t="s">
        <v>0</v>
      </c>
      <c r="E3040" s="2" t="str">
        <f>"PR7900005D"</f>
        <v>PR7900005D</v>
      </c>
      <c r="F3040" s="5">
        <v>38866</v>
      </c>
      <c r="G3040" s="5">
        <v>54789</v>
      </c>
      <c r="H3040" s="4" t="str">
        <f>""</f>
        <v/>
      </c>
      <c r="I3040" s="4" t="str">
        <f>""</f>
        <v/>
      </c>
    </row>
    <row r="3041" spans="1:9" x14ac:dyDescent="0.3">
      <c r="A3041" s="1" t="str">
        <f>"79"</f>
        <v>79</v>
      </c>
      <c r="B3041" s="4" t="str">
        <f>"GOUIN LAURENT"</f>
        <v>GOUIN LAURENT</v>
      </c>
      <c r="C3041" s="4">
        <v>403378391</v>
      </c>
      <c r="D3041" s="3" t="s">
        <v>0</v>
      </c>
      <c r="E3041" s="2" t="str">
        <f>"PR7900003D"</f>
        <v>PR7900003D</v>
      </c>
      <c r="F3041" s="5">
        <v>43665</v>
      </c>
      <c r="G3041" s="5">
        <v>54789</v>
      </c>
      <c r="H3041" s="4" t="str">
        <f>""</f>
        <v/>
      </c>
      <c r="I3041" s="4" t="str">
        <f>""</f>
        <v/>
      </c>
    </row>
    <row r="3042" spans="1:9" x14ac:dyDescent="0.3">
      <c r="A3042" s="1" t="str">
        <f>"79"</f>
        <v>79</v>
      </c>
      <c r="B3042" s="4" t="str">
        <f>"GOUIN LAURENT"</f>
        <v>GOUIN LAURENT</v>
      </c>
      <c r="C3042" s="4">
        <v>403378391</v>
      </c>
      <c r="D3042" s="3" t="s">
        <v>0</v>
      </c>
      <c r="E3042" s="2" t="str">
        <f>"0007206874"</f>
        <v>0007206874</v>
      </c>
      <c r="F3042" s="5">
        <v>38860</v>
      </c>
      <c r="G3042" s="5">
        <v>54789</v>
      </c>
      <c r="H3042" s="4" t="str">
        <f>""</f>
        <v/>
      </c>
      <c r="I3042" s="4" t="str">
        <f>""</f>
        <v/>
      </c>
    </row>
    <row r="3043" spans="1:9" x14ac:dyDescent="0.3">
      <c r="A3043" s="1" t="str">
        <f>"79"</f>
        <v>79</v>
      </c>
      <c r="B3043" s="4" t="str">
        <f>"BRESSUIRE RECUP'AUTO"</f>
        <v>BRESSUIRE RECUP'AUTO</v>
      </c>
      <c r="C3043" s="4">
        <v>431883362</v>
      </c>
      <c r="D3043" s="3" t="s">
        <v>0</v>
      </c>
      <c r="E3043" s="2" t="str">
        <f>"0007202188"</f>
        <v>0007202188</v>
      </c>
      <c r="F3043" s="5">
        <v>39037</v>
      </c>
      <c r="G3043" s="5">
        <v>54789</v>
      </c>
      <c r="H3043" s="4" t="str">
        <f>""</f>
        <v/>
      </c>
      <c r="I3043" s="4" t="str">
        <f>""</f>
        <v/>
      </c>
    </row>
    <row r="3044" spans="1:9" x14ac:dyDescent="0.3">
      <c r="A3044" s="1" t="str">
        <f>"79"</f>
        <v>79</v>
      </c>
      <c r="B3044" s="4" t="str">
        <f>"BRESSUIRE RECUP'AUTO"</f>
        <v>BRESSUIRE RECUP'AUTO</v>
      </c>
      <c r="C3044" s="4">
        <v>431883362</v>
      </c>
      <c r="D3044" s="3" t="s">
        <v>0</v>
      </c>
      <c r="E3044" s="2" t="str">
        <f>"PR7900008D"</f>
        <v>PR7900008D</v>
      </c>
      <c r="F3044" s="5">
        <v>43322</v>
      </c>
      <c r="G3044" s="5">
        <v>54789</v>
      </c>
      <c r="H3044" s="4" t="str">
        <f>""</f>
        <v/>
      </c>
      <c r="I3044" s="4" t="str">
        <f>""</f>
        <v/>
      </c>
    </row>
    <row r="3045" spans="1:9" x14ac:dyDescent="0.3">
      <c r="A3045" s="1" t="str">
        <f>"79"</f>
        <v>79</v>
      </c>
      <c r="B3045" s="4" t="str">
        <f>"AUTO-PIECES"</f>
        <v>AUTO-PIECES</v>
      </c>
      <c r="C3045" s="4">
        <v>480870500</v>
      </c>
      <c r="D3045" s="3" t="s">
        <v>0</v>
      </c>
      <c r="E3045" s="2" t="str">
        <f>"PR7900006D"</f>
        <v>PR7900006D</v>
      </c>
      <c r="F3045" s="5">
        <v>38867</v>
      </c>
      <c r="G3045" s="5">
        <v>54789</v>
      </c>
      <c r="H3045" s="4" t="str">
        <f>""</f>
        <v/>
      </c>
      <c r="I3045" s="4" t="str">
        <f>""</f>
        <v/>
      </c>
    </row>
    <row r="3046" spans="1:9" x14ac:dyDescent="0.3">
      <c r="A3046" s="1" t="str">
        <f>"79"</f>
        <v>79</v>
      </c>
      <c r="B3046" s="4" t="str">
        <f>"AUTO-PIECES"</f>
        <v>AUTO-PIECES</v>
      </c>
      <c r="C3046" s="4">
        <v>480870500</v>
      </c>
      <c r="D3046" s="3" t="s">
        <v>0</v>
      </c>
      <c r="E3046" s="2" t="str">
        <f>"0007202462"</f>
        <v>0007202462</v>
      </c>
      <c r="F3046" s="5">
        <v>38867</v>
      </c>
      <c r="G3046" s="5">
        <v>54789</v>
      </c>
      <c r="H3046" s="4" t="str">
        <f>""</f>
        <v/>
      </c>
      <c r="I3046" s="4" t="str">
        <f>""</f>
        <v/>
      </c>
    </row>
    <row r="3047" spans="1:9" x14ac:dyDescent="0.3">
      <c r="A3047" s="1" t="str">
        <f>"79"</f>
        <v>79</v>
      </c>
      <c r="B3047" s="4" t="str">
        <f>"SDBA CASS AUTO 79"</f>
        <v>SDBA CASS AUTO 79</v>
      </c>
      <c r="C3047" s="4">
        <v>525324232</v>
      </c>
      <c r="D3047" s="3" t="s">
        <v>0</v>
      </c>
      <c r="E3047" s="2" t="str">
        <f>"PR7900012D"</f>
        <v>PR7900012D</v>
      </c>
      <c r="F3047" s="5">
        <v>41930</v>
      </c>
      <c r="G3047" s="5">
        <v>54789</v>
      </c>
      <c r="H3047" s="4" t="str">
        <f>""</f>
        <v/>
      </c>
      <c r="I3047" s="4" t="str">
        <f>""</f>
        <v/>
      </c>
    </row>
    <row r="3048" spans="1:9" x14ac:dyDescent="0.3">
      <c r="A3048" s="1" t="str">
        <f>"79"</f>
        <v>79</v>
      </c>
      <c r="B3048" s="4" t="str">
        <f>"SDBA CASS AUTO 79"</f>
        <v>SDBA CASS AUTO 79</v>
      </c>
      <c r="C3048" s="4">
        <v>525324232</v>
      </c>
      <c r="D3048" s="3" t="s">
        <v>0</v>
      </c>
      <c r="E3048" s="2" t="str">
        <f>"0007202858"</f>
        <v>0007202858</v>
      </c>
      <c r="F3048" s="5">
        <v>39738</v>
      </c>
      <c r="G3048" s="5">
        <v>54789</v>
      </c>
      <c r="H3048" s="4" t="str">
        <f>""</f>
        <v/>
      </c>
      <c r="I3048" s="4" t="str">
        <f>""</f>
        <v/>
      </c>
    </row>
    <row r="3049" spans="1:9" x14ac:dyDescent="0.3">
      <c r="A3049" s="1" t="str">
        <f>"79"</f>
        <v>79</v>
      </c>
      <c r="B3049" s="4" t="str">
        <f>"DECONS NORD AQUITAINE SAS"</f>
        <v>DECONS NORD AQUITAINE SAS</v>
      </c>
      <c r="C3049" s="4">
        <v>832222517</v>
      </c>
      <c r="D3049" s="3" t="s">
        <v>0</v>
      </c>
      <c r="E3049" s="2" t="str">
        <f>"0007202531"</f>
        <v>0007202531</v>
      </c>
      <c r="F3049" s="5">
        <v>43832</v>
      </c>
      <c r="G3049" s="5">
        <v>54789</v>
      </c>
      <c r="H3049" s="4" t="str">
        <f>""</f>
        <v/>
      </c>
      <c r="I3049" s="4" t="str">
        <f>""</f>
        <v/>
      </c>
    </row>
    <row r="3050" spans="1:9" x14ac:dyDescent="0.3">
      <c r="A3050" s="1" t="str">
        <f>"79"</f>
        <v>79</v>
      </c>
      <c r="B3050" s="4" t="str">
        <f>"DECONS NORD AQUITAINE SAS"</f>
        <v>DECONS NORD AQUITAINE SAS</v>
      </c>
      <c r="C3050" s="4">
        <v>832222517</v>
      </c>
      <c r="D3050" s="3" t="s">
        <v>0</v>
      </c>
      <c r="E3050" s="2" t="str">
        <f>"PR7900017D"</f>
        <v>PR7900017D</v>
      </c>
      <c r="F3050" s="5">
        <v>43832</v>
      </c>
      <c r="G3050" s="5">
        <v>54789</v>
      </c>
      <c r="H3050" s="4" t="str">
        <f>""</f>
        <v/>
      </c>
      <c r="I3050" s="4" t="str">
        <f>""</f>
        <v/>
      </c>
    </row>
    <row r="3051" spans="1:9" x14ac:dyDescent="0.3">
      <c r="A3051" s="1" t="str">
        <f>"79"</f>
        <v>79</v>
      </c>
      <c r="B3051" s="4" t="str">
        <f>"SARL CASSE CAR 79"</f>
        <v>SARL CASSE CAR 79</v>
      </c>
      <c r="C3051" s="4">
        <v>841286396</v>
      </c>
      <c r="D3051" s="3" t="s">
        <v>0</v>
      </c>
      <c r="E3051" s="2" t="str">
        <f>"0007202888"</f>
        <v>0007202888</v>
      </c>
      <c r="F3051" s="5">
        <v>43557</v>
      </c>
      <c r="G3051" s="5">
        <v>54789</v>
      </c>
      <c r="H3051" s="4" t="str">
        <f>""</f>
        <v/>
      </c>
      <c r="I3051" s="4" t="str">
        <f>""</f>
        <v/>
      </c>
    </row>
    <row r="3052" spans="1:9" x14ac:dyDescent="0.3">
      <c r="A3052" s="1" t="str">
        <f>"79"</f>
        <v>79</v>
      </c>
      <c r="B3052" s="4" t="str">
        <f>"SARL CASSE CAR 79"</f>
        <v>SARL CASSE CAR 79</v>
      </c>
      <c r="C3052" s="4">
        <v>841286396</v>
      </c>
      <c r="D3052" s="3" t="s">
        <v>0</v>
      </c>
      <c r="E3052" s="2" t="str">
        <f>"PR7900018D"</f>
        <v>PR7900018D</v>
      </c>
      <c r="F3052" s="5">
        <v>43557</v>
      </c>
      <c r="G3052" s="5">
        <v>54789</v>
      </c>
      <c r="H3052" s="4" t="str">
        <f>""</f>
        <v/>
      </c>
      <c r="I3052" s="4" t="str">
        <f>""</f>
        <v/>
      </c>
    </row>
    <row r="3053" spans="1:9" x14ac:dyDescent="0.3">
      <c r="A3053" s="1" t="str">
        <f>"80"</f>
        <v>80</v>
      </c>
      <c r="B3053" s="4" t="str">
        <f>"DEMARET Alain"</f>
        <v>DEMARET Alain</v>
      </c>
      <c r="C3053" s="4">
        <v>323334755</v>
      </c>
      <c r="D3053" s="3" t="s">
        <v>0</v>
      </c>
      <c r="E3053" s="2" t="str">
        <f>"PR8000032D"</f>
        <v>PR8000032D</v>
      </c>
      <c r="F3053" s="5">
        <v>43796</v>
      </c>
      <c r="G3053" s="5">
        <v>54789</v>
      </c>
      <c r="H3053" s="4" t="str">
        <f>"DEMARET Alain "</f>
        <v xml:space="preserve">DEMARET Alain </v>
      </c>
      <c r="I3053" s="4" t="str">
        <f>"DEMARET Alain "</f>
        <v xml:space="preserve">DEMARET Alain </v>
      </c>
    </row>
    <row r="3054" spans="1:9" x14ac:dyDescent="0.3">
      <c r="A3054" s="1" t="str">
        <f>"80"</f>
        <v>80</v>
      </c>
      <c r="B3054" s="4" t="str">
        <f>"DEMARET Alain"</f>
        <v>DEMARET Alain</v>
      </c>
      <c r="C3054" s="4">
        <v>323334755</v>
      </c>
      <c r="D3054" s="3" t="s">
        <v>0</v>
      </c>
      <c r="E3054" s="2" t="str">
        <f>"0005105437"</f>
        <v>0005105437</v>
      </c>
      <c r="F3054" s="5">
        <v>43796</v>
      </c>
      <c r="G3054" s="5">
        <v>54789</v>
      </c>
      <c r="H3054" s="4" t="str">
        <f>"DEMARET Alain "</f>
        <v xml:space="preserve">DEMARET Alain </v>
      </c>
      <c r="I3054" s="4" t="str">
        <f>"DEMARET Alain "</f>
        <v xml:space="preserve">DEMARET Alain </v>
      </c>
    </row>
    <row r="3055" spans="1:9" x14ac:dyDescent="0.3">
      <c r="A3055" s="1" t="str">
        <f>"80"</f>
        <v>80</v>
      </c>
      <c r="B3055" s="4" t="str">
        <f>"PICARDIE RECUP site 1 Nesle"</f>
        <v>PICARDIE RECUP site 1 Nesle</v>
      </c>
      <c r="C3055" s="4">
        <v>353526932</v>
      </c>
      <c r="D3055" s="3" t="s">
        <v>0</v>
      </c>
      <c r="E3055" s="2" t="str">
        <f>"PR8000022D"</f>
        <v>PR8000022D</v>
      </c>
      <c r="F3055" s="5">
        <v>42590</v>
      </c>
      <c r="G3055" s="5">
        <v>54789</v>
      </c>
      <c r="H3055" s="4" t="str">
        <f>""</f>
        <v/>
      </c>
      <c r="I3055" s="4" t="str">
        <f>""</f>
        <v/>
      </c>
    </row>
    <row r="3056" spans="1:9" x14ac:dyDescent="0.3">
      <c r="A3056" s="1" t="str">
        <f>"80"</f>
        <v>80</v>
      </c>
      <c r="B3056" s="4" t="str">
        <f>"PICARDIE RECUP site 1 Nesle"</f>
        <v>PICARDIE RECUP site 1 Nesle</v>
      </c>
      <c r="C3056" s="4">
        <v>353526932</v>
      </c>
      <c r="D3056" s="3" t="s">
        <v>0</v>
      </c>
      <c r="E3056" s="2" t="str">
        <f>"0005106166"</f>
        <v>0005106166</v>
      </c>
      <c r="F3056" s="5">
        <v>42590</v>
      </c>
      <c r="G3056" s="5">
        <v>54789</v>
      </c>
      <c r="H3056" s="4" t="str">
        <f>""</f>
        <v/>
      </c>
      <c r="I3056" s="4" t="str">
        <f>""</f>
        <v/>
      </c>
    </row>
    <row r="3057" spans="1:9" x14ac:dyDescent="0.3">
      <c r="A3057" s="1" t="str">
        <f>"80"</f>
        <v>80</v>
      </c>
      <c r="B3057" s="4" t="str">
        <f>"GALLOO FRANCE SA AMIENS"</f>
        <v>GALLOO FRANCE SA AMIENS</v>
      </c>
      <c r="C3057" s="4">
        <v>383066602</v>
      </c>
      <c r="D3057" s="3" t="s">
        <v>0</v>
      </c>
      <c r="E3057" s="2" t="str">
        <f>"PR8000004D"</f>
        <v>PR8000004D</v>
      </c>
      <c r="F3057" s="5">
        <v>43412</v>
      </c>
      <c r="G3057" s="5">
        <v>54789</v>
      </c>
      <c r="H3057" s="4" t="str">
        <f>""</f>
        <v/>
      </c>
      <c r="I3057" s="4" t="str">
        <f>""</f>
        <v/>
      </c>
    </row>
    <row r="3058" spans="1:9" x14ac:dyDescent="0.3">
      <c r="A3058" s="1" t="str">
        <f>"80"</f>
        <v>80</v>
      </c>
      <c r="B3058" s="4" t="str">
        <f>"GALLOO FRANCE SA AMIENS"</f>
        <v>GALLOO FRANCE SA AMIENS</v>
      </c>
      <c r="C3058" s="4">
        <v>383066602</v>
      </c>
      <c r="D3058" s="3" t="s">
        <v>0</v>
      </c>
      <c r="E3058" s="2" t="str">
        <f>"0005103859"</f>
        <v>0005103859</v>
      </c>
      <c r="F3058" s="5">
        <v>43412</v>
      </c>
      <c r="G3058" s="5">
        <v>54789</v>
      </c>
      <c r="H3058" s="4" t="str">
        <f>""</f>
        <v/>
      </c>
      <c r="I3058" s="4" t="str">
        <f>""</f>
        <v/>
      </c>
    </row>
    <row r="3059" spans="1:9" x14ac:dyDescent="0.3">
      <c r="A3059" s="1" t="str">
        <f>"80"</f>
        <v>80</v>
      </c>
      <c r="B3059" s="4" t="str">
        <f>"DSA Camon"</f>
        <v>DSA Camon</v>
      </c>
      <c r="C3059" s="4">
        <v>388660516</v>
      </c>
      <c r="D3059" s="3" t="s">
        <v>0</v>
      </c>
      <c r="E3059" s="2" t="str">
        <f>"0005104517"</f>
        <v>0005104517</v>
      </c>
      <c r="F3059" s="5">
        <v>43728</v>
      </c>
      <c r="G3059" s="5">
        <v>54789</v>
      </c>
      <c r="H3059" s="4" t="str">
        <f>""</f>
        <v/>
      </c>
      <c r="I3059" s="4" t="str">
        <f>""</f>
        <v/>
      </c>
    </row>
    <row r="3060" spans="1:9" x14ac:dyDescent="0.3">
      <c r="A3060" s="1" t="str">
        <f>"80"</f>
        <v>80</v>
      </c>
      <c r="B3060" s="4" t="str">
        <f>"DSA Camon"</f>
        <v>DSA Camon</v>
      </c>
      <c r="C3060" s="4">
        <v>388660516</v>
      </c>
      <c r="D3060" s="3" t="s">
        <v>0</v>
      </c>
      <c r="E3060" s="2" t="str">
        <f>"PR8000027D"</f>
        <v>PR8000027D</v>
      </c>
      <c r="F3060" s="5">
        <v>43728</v>
      </c>
      <c r="G3060" s="5">
        <v>54789</v>
      </c>
      <c r="H3060" s="4" t="str">
        <f>""</f>
        <v/>
      </c>
      <c r="I3060" s="4" t="str">
        <f>""</f>
        <v/>
      </c>
    </row>
    <row r="3061" spans="1:9" x14ac:dyDescent="0.3">
      <c r="A3061" s="1" t="str">
        <f>"80"</f>
        <v>80</v>
      </c>
      <c r="B3061" s="4" t="str">
        <f>"HOLDING ERIC LEDEUX"</f>
        <v>HOLDING ERIC LEDEUX</v>
      </c>
      <c r="C3061" s="4">
        <v>388729675</v>
      </c>
      <c r="D3061" s="3" t="s">
        <v>0</v>
      </c>
      <c r="E3061" s="2" t="str">
        <f>"PR8000034D"</f>
        <v>PR8000034D</v>
      </c>
      <c r="F3061" s="5">
        <v>44348</v>
      </c>
      <c r="G3061" s="5">
        <v>54789</v>
      </c>
      <c r="H3061" s="4" t="str">
        <f>""</f>
        <v/>
      </c>
      <c r="I3061" s="4" t="str">
        <f>""</f>
        <v/>
      </c>
    </row>
    <row r="3062" spans="1:9" x14ac:dyDescent="0.3">
      <c r="A3062" s="1" t="str">
        <f>"80"</f>
        <v>80</v>
      </c>
      <c r="B3062" s="4" t="str">
        <f>"HOLDING ERIC LEDEUX"</f>
        <v>HOLDING ERIC LEDEUX</v>
      </c>
      <c r="C3062" s="4">
        <v>388729675</v>
      </c>
      <c r="D3062" s="3" t="s">
        <v>0</v>
      </c>
      <c r="E3062" s="2" t="str">
        <f>"0005105830"</f>
        <v>0005105830</v>
      </c>
      <c r="F3062" s="5">
        <v>44348</v>
      </c>
      <c r="G3062" s="5">
        <v>54789</v>
      </c>
      <c r="H3062" s="4" t="str">
        <f>""</f>
        <v/>
      </c>
      <c r="I3062" s="4" t="str">
        <f>""</f>
        <v/>
      </c>
    </row>
    <row r="3063" spans="1:9" x14ac:dyDescent="0.3">
      <c r="A3063" s="1" t="str">
        <f>"80"</f>
        <v>80</v>
      </c>
      <c r="B3063" s="4" t="str">
        <f>"FOLLENS STEPHANE"</f>
        <v>FOLLENS STEPHANE</v>
      </c>
      <c r="C3063" s="4">
        <v>390110534</v>
      </c>
      <c r="D3063" s="3" t="s">
        <v>0</v>
      </c>
      <c r="E3063" s="2" t="str">
        <f>"PR8000015D"</f>
        <v>PR8000015D</v>
      </c>
      <c r="F3063" s="5">
        <v>43635</v>
      </c>
      <c r="G3063" s="5">
        <v>54789</v>
      </c>
      <c r="H3063" s="4" t="str">
        <f>"FOLLENS STEPHANE "</f>
        <v xml:space="preserve">FOLLENS STEPHANE </v>
      </c>
      <c r="I3063" s="4" t="str">
        <f>"FOLLENS STEPHANE "</f>
        <v xml:space="preserve">FOLLENS STEPHANE </v>
      </c>
    </row>
    <row r="3064" spans="1:9" x14ac:dyDescent="0.3">
      <c r="A3064" s="1" t="str">
        <f>"80"</f>
        <v>80</v>
      </c>
      <c r="B3064" s="4" t="str">
        <f>"FOLLENS STEPHANE"</f>
        <v>FOLLENS STEPHANE</v>
      </c>
      <c r="C3064" s="4">
        <v>390110534</v>
      </c>
      <c r="D3064" s="3" t="s">
        <v>0</v>
      </c>
      <c r="E3064" s="2" t="str">
        <f>"0005101737"</f>
        <v>0005101737</v>
      </c>
      <c r="F3064" s="5">
        <v>43635</v>
      </c>
      <c r="G3064" s="5">
        <v>54789</v>
      </c>
      <c r="H3064" s="4" t="str">
        <f>"FOLLENS STEPHANE "</f>
        <v xml:space="preserve">FOLLENS STEPHANE </v>
      </c>
      <c r="I3064" s="4" t="str">
        <f>"FOLLENS STEPHANE "</f>
        <v xml:space="preserve">FOLLENS STEPHANE </v>
      </c>
    </row>
    <row r="3065" spans="1:9" x14ac:dyDescent="0.3">
      <c r="A3065" s="1" t="str">
        <f>"80"</f>
        <v>80</v>
      </c>
      <c r="B3065" s="4" t="str">
        <f>"ESPACE AUTO"</f>
        <v>ESPACE AUTO</v>
      </c>
      <c r="C3065" s="4">
        <v>401602065</v>
      </c>
      <c r="D3065" s="3" t="s">
        <v>0</v>
      </c>
      <c r="E3065" s="2" t="str">
        <f>"PR8000031D"</f>
        <v>PR8000031D</v>
      </c>
      <c r="F3065" s="5">
        <v>43754</v>
      </c>
      <c r="G3065" s="5">
        <v>54789</v>
      </c>
      <c r="H3065" s="4" t="str">
        <f>""</f>
        <v/>
      </c>
      <c r="I3065" s="4" t="str">
        <f>""</f>
        <v/>
      </c>
    </row>
    <row r="3066" spans="1:9" x14ac:dyDescent="0.3">
      <c r="A3066" s="1" t="str">
        <f>"80"</f>
        <v>80</v>
      </c>
      <c r="B3066" s="4" t="str">
        <f>"ESPACE AUTO"</f>
        <v>ESPACE AUTO</v>
      </c>
      <c r="C3066" s="4">
        <v>401602065</v>
      </c>
      <c r="D3066" s="3" t="s">
        <v>0</v>
      </c>
      <c r="E3066" s="2" t="str">
        <f>"0005104023"</f>
        <v>0005104023</v>
      </c>
      <c r="F3066" s="5">
        <v>43728</v>
      </c>
      <c r="G3066" s="5">
        <v>54789</v>
      </c>
      <c r="H3066" s="4" t="str">
        <f>""</f>
        <v/>
      </c>
      <c r="I3066" s="4" t="str">
        <f>""</f>
        <v/>
      </c>
    </row>
    <row r="3067" spans="1:9" x14ac:dyDescent="0.3">
      <c r="A3067" s="1" t="str">
        <f>"80"</f>
        <v>80</v>
      </c>
      <c r="B3067" s="4" t="str">
        <f>"FER FRICOURT ENVIRONNEMENT RECYCLAGE"</f>
        <v>FER FRICOURT ENVIRONNEMENT RECYCLAGE</v>
      </c>
      <c r="C3067" s="4">
        <v>419940010</v>
      </c>
      <c r="D3067" s="3" t="s">
        <v>0</v>
      </c>
      <c r="E3067" s="2" t="str">
        <f>"PR8000014D"</f>
        <v>PR8000014D</v>
      </c>
      <c r="F3067" s="5">
        <v>42846</v>
      </c>
      <c r="G3067" s="5">
        <v>54789</v>
      </c>
      <c r="H3067" s="4" t="str">
        <f>""</f>
        <v/>
      </c>
      <c r="I3067" s="4" t="str">
        <f>""</f>
        <v/>
      </c>
    </row>
    <row r="3068" spans="1:9" x14ac:dyDescent="0.3">
      <c r="A3068" s="1" t="str">
        <f>"80"</f>
        <v>80</v>
      </c>
      <c r="B3068" s="4" t="str">
        <f>"FER FRICOURT ENVIRONNEMENT RECYCLAGE"</f>
        <v>FER FRICOURT ENVIRONNEMENT RECYCLAGE</v>
      </c>
      <c r="C3068" s="4">
        <v>419940010</v>
      </c>
      <c r="D3068" s="3" t="s">
        <v>0</v>
      </c>
      <c r="E3068" s="2" t="str">
        <f>"0005102229"</f>
        <v>0005102229</v>
      </c>
      <c r="F3068" s="5">
        <v>42846</v>
      </c>
      <c r="G3068" s="5">
        <v>54789</v>
      </c>
      <c r="H3068" s="4" t="str">
        <f>""</f>
        <v/>
      </c>
      <c r="I3068" s="4" t="str">
        <f>""</f>
        <v/>
      </c>
    </row>
    <row r="3069" spans="1:9" x14ac:dyDescent="0.3">
      <c r="A3069" s="1" t="str">
        <f>"80"</f>
        <v>80</v>
      </c>
      <c r="B3069" s="4" t="str">
        <f>"TOURS AUTOMOBILES"</f>
        <v>TOURS AUTOMOBILES</v>
      </c>
      <c r="C3069" s="4">
        <v>423956085</v>
      </c>
      <c r="D3069" s="3" t="s">
        <v>0</v>
      </c>
      <c r="E3069" s="2" t="str">
        <f>"PR8000021D"</f>
        <v>PR8000021D</v>
      </c>
      <c r="F3069" s="5">
        <v>42439</v>
      </c>
      <c r="G3069" s="5">
        <v>54789</v>
      </c>
      <c r="H3069" s="4" t="str">
        <f>""</f>
        <v/>
      </c>
      <c r="I3069" s="4" t="str">
        <f>""</f>
        <v/>
      </c>
    </row>
    <row r="3070" spans="1:9" x14ac:dyDescent="0.3">
      <c r="A3070" s="1" t="str">
        <f>"80"</f>
        <v>80</v>
      </c>
      <c r="B3070" s="4" t="str">
        <f>"TOURS AUTOMOBILES"</f>
        <v>TOURS AUTOMOBILES</v>
      </c>
      <c r="C3070" s="4">
        <v>423956085</v>
      </c>
      <c r="D3070" s="3" t="s">
        <v>0</v>
      </c>
      <c r="E3070" s="2" t="str">
        <f>"0005105995"</f>
        <v>0005105995</v>
      </c>
      <c r="F3070" s="5">
        <v>42439</v>
      </c>
      <c r="G3070" s="5">
        <v>54789</v>
      </c>
      <c r="H3070" s="4" t="str">
        <f>""</f>
        <v/>
      </c>
      <c r="I3070" s="4" t="str">
        <f>""</f>
        <v/>
      </c>
    </row>
    <row r="3071" spans="1:9" x14ac:dyDescent="0.3">
      <c r="A3071" s="1" t="str">
        <f>"80"</f>
        <v>80</v>
      </c>
      <c r="B3071" s="4" t="str">
        <f>"MOMO LA RECUP"</f>
        <v>MOMO LA RECUP</v>
      </c>
      <c r="C3071" s="4">
        <v>489491985</v>
      </c>
      <c r="D3071" s="3" t="s">
        <v>0</v>
      </c>
      <c r="E3071" s="2" t="str">
        <f>"PR8000024D"</f>
        <v>PR8000024D</v>
      </c>
      <c r="F3071" s="5">
        <v>43584</v>
      </c>
      <c r="G3071" s="5">
        <v>54789</v>
      </c>
      <c r="H3071" s="4" t="str">
        <f>""</f>
        <v/>
      </c>
      <c r="I3071" s="4" t="str">
        <f>""</f>
        <v/>
      </c>
    </row>
    <row r="3072" spans="1:9" x14ac:dyDescent="0.3">
      <c r="A3072" s="1" t="str">
        <f>"80"</f>
        <v>80</v>
      </c>
      <c r="B3072" s="4" t="str">
        <f>"MOMO LA RECUP"</f>
        <v>MOMO LA RECUP</v>
      </c>
      <c r="C3072" s="4">
        <v>489491985</v>
      </c>
      <c r="D3072" s="3" t="s">
        <v>0</v>
      </c>
      <c r="E3072" s="2" t="str">
        <f>"0005107303"</f>
        <v>0005107303</v>
      </c>
      <c r="F3072" s="5">
        <v>43584</v>
      </c>
      <c r="G3072" s="5">
        <v>54789</v>
      </c>
      <c r="H3072" s="4" t="str">
        <f>""</f>
        <v/>
      </c>
      <c r="I3072" s="4" t="str">
        <f>""</f>
        <v/>
      </c>
    </row>
    <row r="3073" spans="1:9" x14ac:dyDescent="0.3">
      <c r="A3073" s="1" t="str">
        <f>"80"</f>
        <v>80</v>
      </c>
      <c r="B3073" s="4" t="str">
        <f>"SARL ETABLISSEMENTS BARCENA"</f>
        <v>SARL ETABLISSEMENTS BARCENA</v>
      </c>
      <c r="C3073" s="4">
        <v>512792219</v>
      </c>
      <c r="D3073" s="3" t="s">
        <v>0</v>
      </c>
      <c r="E3073" s="2" t="str">
        <f>"PR8000020D"</f>
        <v>PR8000020D</v>
      </c>
      <c r="F3073" s="5">
        <v>43728</v>
      </c>
      <c r="G3073" s="5">
        <v>54789</v>
      </c>
      <c r="H3073" s="4" t="str">
        <f>""</f>
        <v/>
      </c>
      <c r="I3073" s="4" t="str">
        <f>""</f>
        <v/>
      </c>
    </row>
    <row r="3074" spans="1:9" x14ac:dyDescent="0.3">
      <c r="A3074" s="1" t="str">
        <f>"80"</f>
        <v>80</v>
      </c>
      <c r="B3074" s="4" t="str">
        <f>"SARL ETABLISSEMENTS BARCENA"</f>
        <v>SARL ETABLISSEMENTS BARCENA</v>
      </c>
      <c r="C3074" s="4">
        <v>512792219</v>
      </c>
      <c r="D3074" s="3" t="s">
        <v>0</v>
      </c>
      <c r="E3074" s="2" t="str">
        <f>"0005104892"</f>
        <v>0005104892</v>
      </c>
      <c r="F3074" s="5">
        <v>43728</v>
      </c>
      <c r="G3074" s="5">
        <v>54789</v>
      </c>
      <c r="H3074" s="4" t="str">
        <f>""</f>
        <v/>
      </c>
      <c r="I3074" s="4" t="str">
        <f>""</f>
        <v/>
      </c>
    </row>
    <row r="3075" spans="1:9" x14ac:dyDescent="0.3">
      <c r="A3075" s="1" t="str">
        <f>"80"</f>
        <v>80</v>
      </c>
      <c r="B3075" s="4" t="str">
        <f>"AXIOMAUTO"</f>
        <v>AXIOMAUTO</v>
      </c>
      <c r="C3075" s="4">
        <v>527887111</v>
      </c>
      <c r="D3075" s="3" t="s">
        <v>0</v>
      </c>
      <c r="E3075" s="2" t="str">
        <f>"PR8000030D"</f>
        <v>PR8000030D</v>
      </c>
      <c r="F3075" s="5">
        <v>42900</v>
      </c>
      <c r="G3075" s="5">
        <v>54789</v>
      </c>
      <c r="H3075" s="4" t="str">
        <f>""</f>
        <v/>
      </c>
      <c r="I3075" s="4" t="str">
        <f>""</f>
        <v/>
      </c>
    </row>
    <row r="3076" spans="1:9" x14ac:dyDescent="0.3">
      <c r="A3076" s="1" t="str">
        <f>"80"</f>
        <v>80</v>
      </c>
      <c r="B3076" s="4" t="str">
        <f>"AXIOMAUTO"</f>
        <v>AXIOMAUTO</v>
      </c>
      <c r="C3076" s="4">
        <v>527887111</v>
      </c>
      <c r="D3076" s="3" t="s">
        <v>0</v>
      </c>
      <c r="E3076" s="2" t="str">
        <f>"0003801058"</f>
        <v>0003801058</v>
      </c>
      <c r="F3076" s="5">
        <v>42900</v>
      </c>
      <c r="G3076" s="5">
        <v>54789</v>
      </c>
      <c r="H3076" s="4" t="str">
        <f>""</f>
        <v/>
      </c>
      <c r="I3076" s="4" t="str">
        <f>""</f>
        <v/>
      </c>
    </row>
    <row r="3077" spans="1:9" x14ac:dyDescent="0.3">
      <c r="A3077" s="1" t="str">
        <f>"80"</f>
        <v>80</v>
      </c>
      <c r="B3077" s="4" t="str">
        <f>"STOP CAR"</f>
        <v>STOP CAR</v>
      </c>
      <c r="C3077" s="4">
        <v>538624578</v>
      </c>
      <c r="D3077" s="3" t="s">
        <v>0</v>
      </c>
      <c r="E3077" s="2" t="str">
        <f>"PR8000009D"</f>
        <v>PR8000009D</v>
      </c>
      <c r="F3077" s="5">
        <v>43425</v>
      </c>
      <c r="G3077" s="5">
        <v>54789</v>
      </c>
      <c r="H3077" s="4" t="str">
        <f>""</f>
        <v/>
      </c>
      <c r="I3077" s="4" t="str">
        <f>""</f>
        <v/>
      </c>
    </row>
    <row r="3078" spans="1:9" x14ac:dyDescent="0.3">
      <c r="A3078" s="1" t="str">
        <f>"80"</f>
        <v>80</v>
      </c>
      <c r="B3078" s="4" t="str">
        <f>"STOP CAR"</f>
        <v>STOP CAR</v>
      </c>
      <c r="C3078" s="4">
        <v>538624578</v>
      </c>
      <c r="D3078" s="3" t="s">
        <v>0</v>
      </c>
      <c r="E3078" s="2" t="str">
        <f>"0005102230"</f>
        <v>0005102230</v>
      </c>
      <c r="F3078" s="5">
        <v>43425</v>
      </c>
      <c r="G3078" s="5">
        <v>54789</v>
      </c>
      <c r="H3078" s="4" t="str">
        <f>""</f>
        <v/>
      </c>
      <c r="I3078" s="4" t="str">
        <f>""</f>
        <v/>
      </c>
    </row>
    <row r="3079" spans="1:9" x14ac:dyDescent="0.3">
      <c r="A3079" s="1" t="str">
        <f>"80"</f>
        <v>80</v>
      </c>
      <c r="B3079" s="4" t="str">
        <f>"REVIVAL (Abbeville)"</f>
        <v>REVIVAL (Abbeville)</v>
      </c>
      <c r="C3079" s="4">
        <v>616620092</v>
      </c>
      <c r="D3079" s="3" t="s">
        <v>0</v>
      </c>
      <c r="E3079" s="2" t="str">
        <f>"PR8000017D"</f>
        <v>PR8000017D</v>
      </c>
      <c r="F3079" s="5">
        <v>43501</v>
      </c>
      <c r="G3079" s="5">
        <v>54789</v>
      </c>
      <c r="H3079" s="4" t="str">
        <f>""</f>
        <v/>
      </c>
      <c r="I3079" s="4" t="str">
        <f>""</f>
        <v/>
      </c>
    </row>
    <row r="3080" spans="1:9" x14ac:dyDescent="0.3">
      <c r="A3080" s="1" t="str">
        <f>"80"</f>
        <v>80</v>
      </c>
      <c r="B3080" s="4" t="str">
        <f>"REVIVAL (Abbeville)"</f>
        <v>REVIVAL (Abbeville)</v>
      </c>
      <c r="C3080" s="4">
        <v>616620092</v>
      </c>
      <c r="D3080" s="3" t="s">
        <v>0</v>
      </c>
      <c r="E3080" s="2" t="str">
        <f>"0005104391"</f>
        <v>0005104391</v>
      </c>
      <c r="F3080" s="5">
        <v>43501</v>
      </c>
      <c r="G3080" s="5">
        <v>54789</v>
      </c>
      <c r="H3080" s="4" t="str">
        <f>""</f>
        <v/>
      </c>
      <c r="I3080" s="4" t="str">
        <f>""</f>
        <v/>
      </c>
    </row>
    <row r="3081" spans="1:9" x14ac:dyDescent="0.3">
      <c r="A3081" s="1" t="str">
        <f>"80"</f>
        <v>80</v>
      </c>
      <c r="B3081" s="4" t="str">
        <f>"REVIVAL (Amiens)"</f>
        <v>REVIVAL (Amiens)</v>
      </c>
      <c r="C3081" s="4">
        <v>616620092</v>
      </c>
      <c r="D3081" s="3" t="s">
        <v>0</v>
      </c>
      <c r="E3081" s="2" t="str">
        <f>"PR8000029D"</f>
        <v>PR8000029D</v>
      </c>
      <c r="F3081" s="5">
        <v>42740</v>
      </c>
      <c r="G3081" s="5">
        <v>54789</v>
      </c>
      <c r="H3081" s="4" t="str">
        <f>""</f>
        <v/>
      </c>
      <c r="I3081" s="4" t="str">
        <f>""</f>
        <v/>
      </c>
    </row>
    <row r="3082" spans="1:9" x14ac:dyDescent="0.3">
      <c r="A3082" s="1" t="str">
        <f>"80"</f>
        <v>80</v>
      </c>
      <c r="B3082" s="4" t="str">
        <f>"REVIVAL (Amiens)"</f>
        <v>REVIVAL (Amiens)</v>
      </c>
      <c r="C3082" s="4">
        <v>616620092</v>
      </c>
      <c r="D3082" s="3" t="s">
        <v>0</v>
      </c>
      <c r="E3082" s="2" t="str">
        <f>"0005106135"</f>
        <v>0005106135</v>
      </c>
      <c r="F3082" s="5">
        <v>42740</v>
      </c>
      <c r="G3082" s="5">
        <v>54789</v>
      </c>
      <c r="H3082" s="4" t="str">
        <f>""</f>
        <v/>
      </c>
      <c r="I3082" s="4" t="str">
        <f>""</f>
        <v/>
      </c>
    </row>
    <row r="3083" spans="1:9" x14ac:dyDescent="0.3">
      <c r="A3083" s="1" t="str">
        <f>"80"</f>
        <v>80</v>
      </c>
      <c r="B3083" s="4" t="str">
        <f>"REVIVAL (Corbie)"</f>
        <v>REVIVAL (Corbie)</v>
      </c>
      <c r="C3083" s="4">
        <v>616620092</v>
      </c>
      <c r="D3083" s="3" t="s">
        <v>0</v>
      </c>
      <c r="E3083" s="2" t="str">
        <f>"PR8000028D"</f>
        <v>PR8000028D</v>
      </c>
      <c r="F3083" s="5">
        <v>41887</v>
      </c>
      <c r="G3083" s="5">
        <v>54789</v>
      </c>
      <c r="H3083" s="4" t="str">
        <f>""</f>
        <v/>
      </c>
      <c r="I3083" s="4" t="str">
        <f>""</f>
        <v/>
      </c>
    </row>
    <row r="3084" spans="1:9" x14ac:dyDescent="0.3">
      <c r="A3084" s="1" t="str">
        <f>"80"</f>
        <v>80</v>
      </c>
      <c r="B3084" s="4" t="str">
        <f>"REVIVAL (Corbie)"</f>
        <v>REVIVAL (Corbie)</v>
      </c>
      <c r="C3084" s="4">
        <v>616620092</v>
      </c>
      <c r="D3084" s="3" t="s">
        <v>0</v>
      </c>
      <c r="E3084" s="2" t="str">
        <f>"0005102083"</f>
        <v>0005102083</v>
      </c>
      <c r="F3084" s="5">
        <v>41887</v>
      </c>
      <c r="G3084" s="5">
        <v>54789</v>
      </c>
      <c r="H3084" s="4" t="str">
        <f>""</f>
        <v/>
      </c>
      <c r="I3084" s="4" t="str">
        <f>""</f>
        <v/>
      </c>
    </row>
    <row r="3085" spans="1:9" x14ac:dyDescent="0.3">
      <c r="A3085" s="1" t="str">
        <f>"80"</f>
        <v>80</v>
      </c>
      <c r="B3085" s="4" t="str">
        <f>"Recycling Car COFFIGNIEZ"</f>
        <v>Recycling Car COFFIGNIEZ</v>
      </c>
      <c r="C3085" s="4">
        <v>780594008</v>
      </c>
      <c r="D3085" s="3" t="s">
        <v>0</v>
      </c>
      <c r="E3085" s="2" t="str">
        <f>"PR8000011D"</f>
        <v>PR8000011D</v>
      </c>
      <c r="F3085" s="5">
        <v>43643</v>
      </c>
      <c r="G3085" s="5">
        <v>54789</v>
      </c>
      <c r="H3085" s="4" t="str">
        <f>""</f>
        <v/>
      </c>
      <c r="I3085" s="4" t="str">
        <f>""</f>
        <v/>
      </c>
    </row>
    <row r="3086" spans="1:9" x14ac:dyDescent="0.3">
      <c r="A3086" s="1" t="str">
        <f>"80"</f>
        <v>80</v>
      </c>
      <c r="B3086" s="4" t="str">
        <f>"Recycling Car COFFIGNIEZ"</f>
        <v>Recycling Car COFFIGNIEZ</v>
      </c>
      <c r="C3086" s="4">
        <v>780594008</v>
      </c>
      <c r="D3086" s="3" t="s">
        <v>0</v>
      </c>
      <c r="E3086" s="2" t="str">
        <f>"0005103788"</f>
        <v>0005103788</v>
      </c>
      <c r="F3086" s="5">
        <v>43643</v>
      </c>
      <c r="G3086" s="5">
        <v>54789</v>
      </c>
      <c r="H3086" s="4" t="str">
        <f>""</f>
        <v/>
      </c>
      <c r="I3086" s="4" t="str">
        <f>""</f>
        <v/>
      </c>
    </row>
    <row r="3087" spans="1:9" x14ac:dyDescent="0.3">
      <c r="A3087" s="1" t="str">
        <f>"80"</f>
        <v>80</v>
      </c>
      <c r="B3087" s="4" t="str">
        <f>"LEFEVRE Environnement SAS"</f>
        <v>LEFEVRE Environnement SAS</v>
      </c>
      <c r="C3087" s="4">
        <v>800787277</v>
      </c>
      <c r="D3087" s="3" t="s">
        <v>0</v>
      </c>
      <c r="E3087" s="2" t="str">
        <f>"PR8000033D"</f>
        <v>PR8000033D</v>
      </c>
      <c r="F3087" s="5">
        <v>44182</v>
      </c>
      <c r="G3087" s="5">
        <v>54789</v>
      </c>
      <c r="H3087" s="4" t="str">
        <f>""</f>
        <v/>
      </c>
      <c r="I3087" s="4" t="str">
        <f>""</f>
        <v/>
      </c>
    </row>
    <row r="3088" spans="1:9" x14ac:dyDescent="0.3">
      <c r="A3088" s="1" t="str">
        <f>"80"</f>
        <v>80</v>
      </c>
      <c r="B3088" s="4" t="str">
        <f>"LEFEVRE Environnement SAS"</f>
        <v>LEFEVRE Environnement SAS</v>
      </c>
      <c r="C3088" s="4">
        <v>800787277</v>
      </c>
      <c r="D3088" s="3" t="s">
        <v>0</v>
      </c>
      <c r="E3088" s="2" t="str">
        <f>"0005104475"</f>
        <v>0005104475</v>
      </c>
      <c r="F3088" s="5">
        <v>44182</v>
      </c>
      <c r="G3088" s="5">
        <v>54789</v>
      </c>
      <c r="H3088" s="4" t="str">
        <f>""</f>
        <v/>
      </c>
      <c r="I3088" s="4" t="str">
        <f>""</f>
        <v/>
      </c>
    </row>
    <row r="3089" spans="1:9" x14ac:dyDescent="0.3">
      <c r="A3089" s="1" t="str">
        <f>"81"</f>
        <v>81</v>
      </c>
      <c r="B3089" s="4" t="str">
        <f>"SOCIETE PAMPELONNE AUTO"</f>
        <v>SOCIETE PAMPELONNE AUTO</v>
      </c>
      <c r="C3089" s="4">
        <v>301724902</v>
      </c>
      <c r="D3089" s="3" t="s">
        <v>0</v>
      </c>
      <c r="E3089" s="2" t="str">
        <f>"0006806223"</f>
        <v>0006806223</v>
      </c>
      <c r="F3089" s="5">
        <v>41572</v>
      </c>
      <c r="G3089" s="5">
        <v>54789</v>
      </c>
      <c r="H3089" s="4" t="str">
        <f>""</f>
        <v/>
      </c>
      <c r="I3089" s="4" t="str">
        <f>""</f>
        <v/>
      </c>
    </row>
    <row r="3090" spans="1:9" x14ac:dyDescent="0.3">
      <c r="A3090" s="1" t="str">
        <f>"81"</f>
        <v>81</v>
      </c>
      <c r="B3090" s="4" t="str">
        <f>"SOCIETE PAMPELONNE AUTO"</f>
        <v>SOCIETE PAMPELONNE AUTO</v>
      </c>
      <c r="C3090" s="4">
        <v>301724902</v>
      </c>
      <c r="D3090" s="3" t="s">
        <v>0</v>
      </c>
      <c r="E3090" s="2" t="str">
        <f>"PR8100022D"</f>
        <v>PR8100022D</v>
      </c>
      <c r="F3090" s="5">
        <v>41572</v>
      </c>
      <c r="G3090" s="5">
        <v>54789</v>
      </c>
      <c r="H3090" s="4" t="str">
        <f>""</f>
        <v/>
      </c>
      <c r="I3090" s="4" t="str">
        <f>""</f>
        <v/>
      </c>
    </row>
    <row r="3091" spans="1:9" x14ac:dyDescent="0.3">
      <c r="A3091" s="1" t="str">
        <f>"81"</f>
        <v>81</v>
      </c>
      <c r="B3091" s="4" t="str">
        <f>"SARL ETABLISSEMENTS BIEYSSE PÈRE ET FILS"</f>
        <v>SARL ETABLISSEMENTS BIEYSSE PÈRE ET FILS</v>
      </c>
      <c r="C3091" s="4">
        <v>316068428</v>
      </c>
      <c r="D3091" s="3" t="s">
        <v>0</v>
      </c>
      <c r="E3091" s="2" t="str">
        <f>"0006809604"</f>
        <v>0006809604</v>
      </c>
      <c r="F3091" s="5">
        <v>41256</v>
      </c>
      <c r="G3091" s="5">
        <v>54789</v>
      </c>
      <c r="H3091" s="4" t="str">
        <f>""</f>
        <v/>
      </c>
      <c r="I3091" s="4" t="str">
        <f>""</f>
        <v/>
      </c>
    </row>
    <row r="3092" spans="1:9" x14ac:dyDescent="0.3">
      <c r="A3092" s="1" t="str">
        <f>"81"</f>
        <v>81</v>
      </c>
      <c r="B3092" s="4" t="str">
        <f>"SARL ETABLISSEMENTS BIEYSSE PÈRE ET FILS"</f>
        <v>SARL ETABLISSEMENTS BIEYSSE PÈRE ET FILS</v>
      </c>
      <c r="C3092" s="4">
        <v>316068428</v>
      </c>
      <c r="D3092" s="3" t="s">
        <v>0</v>
      </c>
      <c r="E3092" s="2" t="str">
        <f>"PR8100019D"</f>
        <v>PR8100019D</v>
      </c>
      <c r="F3092" s="5">
        <v>41256</v>
      </c>
      <c r="G3092" s="5">
        <v>54789</v>
      </c>
      <c r="H3092" s="4" t="str">
        <f>""</f>
        <v/>
      </c>
      <c r="I3092" s="4" t="str">
        <f>""</f>
        <v/>
      </c>
    </row>
    <row r="3093" spans="1:9" x14ac:dyDescent="0.3">
      <c r="A3093" s="1" t="str">
        <f>"81"</f>
        <v>81</v>
      </c>
      <c r="B3093" s="4" t="str">
        <f>"SARL CODINA ET FILS"</f>
        <v>SARL CODINA ET FILS</v>
      </c>
      <c r="C3093" s="4">
        <v>323858332</v>
      </c>
      <c r="D3093" s="3" t="s">
        <v>0</v>
      </c>
      <c r="E3093" s="2" t="str">
        <f>"PR8100011D"</f>
        <v>PR8100011D</v>
      </c>
      <c r="F3093" s="5">
        <v>39108</v>
      </c>
      <c r="G3093" s="5">
        <v>54789</v>
      </c>
      <c r="H3093" s="4" t="str">
        <f>""</f>
        <v/>
      </c>
      <c r="I3093" s="4" t="str">
        <f>""</f>
        <v/>
      </c>
    </row>
    <row r="3094" spans="1:9" x14ac:dyDescent="0.3">
      <c r="A3094" s="1" t="str">
        <f>"81"</f>
        <v>81</v>
      </c>
      <c r="B3094" s="4" t="str">
        <f>"SAS GOMEZ ANDREO"</f>
        <v>SAS GOMEZ ANDREO</v>
      </c>
      <c r="C3094" s="4">
        <v>332037092</v>
      </c>
      <c r="D3094" s="3" t="s">
        <v>0</v>
      </c>
      <c r="E3094" s="2" t="str">
        <f>"PR8100014D"</f>
        <v>PR8100014D</v>
      </c>
      <c r="F3094" s="5">
        <v>39234</v>
      </c>
      <c r="G3094" s="5">
        <v>54789</v>
      </c>
      <c r="H3094" s="4" t="str">
        <f>""</f>
        <v/>
      </c>
      <c r="I3094" s="4" t="str">
        <f>""</f>
        <v/>
      </c>
    </row>
    <row r="3095" spans="1:9" x14ac:dyDescent="0.3">
      <c r="A3095" s="1" t="str">
        <f>"81"</f>
        <v>81</v>
      </c>
      <c r="B3095" s="4" t="str">
        <f>"SARL GIMENEZ"</f>
        <v>SARL GIMENEZ</v>
      </c>
      <c r="C3095" s="4">
        <v>333801991</v>
      </c>
      <c r="D3095" s="3" t="s">
        <v>0</v>
      </c>
      <c r="E3095" s="2" t="str">
        <f>"PR8100013D"</f>
        <v>PR8100013D</v>
      </c>
      <c r="F3095" s="5">
        <v>39177</v>
      </c>
      <c r="G3095" s="5">
        <v>54789</v>
      </c>
      <c r="H3095" s="4" t="str">
        <f>""</f>
        <v/>
      </c>
      <c r="I3095" s="4" t="str">
        <f>""</f>
        <v/>
      </c>
    </row>
    <row r="3096" spans="1:9" x14ac:dyDescent="0.3">
      <c r="A3096" s="1" t="str">
        <f>"81"</f>
        <v>81</v>
      </c>
      <c r="B3096" s="4" t="str">
        <f>"SARL GIMENEZ"</f>
        <v>SARL GIMENEZ</v>
      </c>
      <c r="C3096" s="4">
        <v>333801991</v>
      </c>
      <c r="D3096" s="3" t="s">
        <v>0</v>
      </c>
      <c r="E3096" s="2" t="str">
        <f>"0006806204"</f>
        <v>0006806204</v>
      </c>
      <c r="F3096" s="5">
        <v>39177</v>
      </c>
      <c r="G3096" s="5">
        <v>54789</v>
      </c>
      <c r="H3096" s="4" t="str">
        <f>""</f>
        <v/>
      </c>
      <c r="I3096" s="4" t="str">
        <f>""</f>
        <v/>
      </c>
    </row>
    <row r="3097" spans="1:9" x14ac:dyDescent="0.3">
      <c r="A3097" s="1" t="str">
        <f>"81"</f>
        <v>81</v>
      </c>
      <c r="B3097" s="4" t="str">
        <f>"SURPLUS AUTOS"</f>
        <v>SURPLUS AUTOS</v>
      </c>
      <c r="C3097" s="4">
        <v>334489622</v>
      </c>
      <c r="D3097" s="3" t="s">
        <v>0</v>
      </c>
      <c r="E3097" s="2" t="str">
        <f>"PR8100021D"</f>
        <v>PR8100021D</v>
      </c>
      <c r="F3097" s="5">
        <v>41561</v>
      </c>
      <c r="G3097" s="5">
        <v>54789</v>
      </c>
      <c r="H3097" s="4" t="str">
        <f>""</f>
        <v/>
      </c>
      <c r="I3097" s="4" t="str">
        <f>""</f>
        <v/>
      </c>
    </row>
    <row r="3098" spans="1:9" x14ac:dyDescent="0.3">
      <c r="A3098" s="1" t="str">
        <f>"81"</f>
        <v>81</v>
      </c>
      <c r="B3098" s="4" t="str">
        <f>"SURPLUS AUTOS"</f>
        <v>SURPLUS AUTOS</v>
      </c>
      <c r="C3098" s="4">
        <v>334489622</v>
      </c>
      <c r="D3098" s="3" t="s">
        <v>0</v>
      </c>
      <c r="E3098" s="2" t="str">
        <f>"0006810053"</f>
        <v>0006810053</v>
      </c>
      <c r="F3098" s="5">
        <v>41561</v>
      </c>
      <c r="G3098" s="5">
        <v>54789</v>
      </c>
      <c r="H3098" s="4" t="str">
        <f>""</f>
        <v/>
      </c>
      <c r="I3098" s="4" t="str">
        <f>""</f>
        <v/>
      </c>
    </row>
    <row r="3099" spans="1:9" x14ac:dyDescent="0.3">
      <c r="A3099" s="1" t="str">
        <f>"81"</f>
        <v>81</v>
      </c>
      <c r="B3099" s="4" t="str">
        <f>"FLASH AUTO"</f>
        <v>FLASH AUTO</v>
      </c>
      <c r="C3099" s="4">
        <v>349520007</v>
      </c>
      <c r="D3099" s="3" t="s">
        <v>0</v>
      </c>
      <c r="E3099" s="2" t="str">
        <f>"PR8100016D"</f>
        <v>PR8100016D</v>
      </c>
      <c r="F3099" s="5">
        <v>42152</v>
      </c>
      <c r="G3099" s="5">
        <v>54789</v>
      </c>
      <c r="H3099" s="4" t="str">
        <f>""</f>
        <v/>
      </c>
      <c r="I3099" s="4" t="str">
        <f>""</f>
        <v/>
      </c>
    </row>
    <row r="3100" spans="1:9" x14ac:dyDescent="0.3">
      <c r="A3100" s="1" t="str">
        <f>"81"</f>
        <v>81</v>
      </c>
      <c r="B3100" s="4" t="str">
        <f>"FLASH AUTO"</f>
        <v>FLASH AUTO</v>
      </c>
      <c r="C3100" s="4">
        <v>349520007</v>
      </c>
      <c r="D3100" s="3" t="s">
        <v>0</v>
      </c>
      <c r="E3100" s="2" t="str">
        <f>"0006806048"</f>
        <v>0006806048</v>
      </c>
      <c r="F3100" s="5">
        <v>42152</v>
      </c>
      <c r="G3100" s="5">
        <v>54789</v>
      </c>
      <c r="H3100" s="4" t="str">
        <f>""</f>
        <v/>
      </c>
      <c r="I3100" s="4" t="str">
        <f>""</f>
        <v/>
      </c>
    </row>
    <row r="3101" spans="1:9" x14ac:dyDescent="0.3">
      <c r="A3101" s="1" t="str">
        <f>"81"</f>
        <v>81</v>
      </c>
      <c r="B3101" s="4" t="str">
        <f>"AUTO RECUP 2081"</f>
        <v>AUTO RECUP 2081</v>
      </c>
      <c r="C3101" s="4">
        <v>352567358</v>
      </c>
      <c r="D3101" s="3" t="s">
        <v>0</v>
      </c>
      <c r="E3101" s="2" t="str">
        <f>"PR8100017D"</f>
        <v>PR8100017D</v>
      </c>
      <c r="F3101" s="5">
        <v>42387</v>
      </c>
      <c r="G3101" s="5">
        <v>54789</v>
      </c>
      <c r="H3101" s="4" t="str">
        <f>""</f>
        <v/>
      </c>
      <c r="I3101" s="4" t="str">
        <f>""</f>
        <v/>
      </c>
    </row>
    <row r="3102" spans="1:9" x14ac:dyDescent="0.3">
      <c r="A3102" s="1" t="str">
        <f>"81"</f>
        <v>81</v>
      </c>
      <c r="B3102" s="4" t="str">
        <f>"SARL CARROSSERIE AURAN"</f>
        <v>SARL CARROSSERIE AURAN</v>
      </c>
      <c r="C3102" s="4">
        <v>378090013</v>
      </c>
      <c r="D3102" s="3" t="s">
        <v>0</v>
      </c>
      <c r="E3102" s="2" t="str">
        <f>"PR8100020D"</f>
        <v>PR8100020D</v>
      </c>
      <c r="F3102" s="5">
        <v>41297</v>
      </c>
      <c r="G3102" s="5">
        <v>54789</v>
      </c>
      <c r="H3102" s="4" t="str">
        <f>""</f>
        <v/>
      </c>
      <c r="I3102" s="4" t="str">
        <f>""</f>
        <v/>
      </c>
    </row>
    <row r="3103" spans="1:9" x14ac:dyDescent="0.3">
      <c r="A3103" s="1" t="str">
        <f>"81"</f>
        <v>81</v>
      </c>
      <c r="B3103" s="4" t="str">
        <f>"SARL CARROSSERIE AURAN"</f>
        <v>SARL CARROSSERIE AURAN</v>
      </c>
      <c r="C3103" s="4">
        <v>378090013</v>
      </c>
      <c r="D3103" s="3" t="s">
        <v>0</v>
      </c>
      <c r="E3103" s="2" t="str">
        <f>"0006808993"</f>
        <v>0006808993</v>
      </c>
      <c r="F3103" s="5">
        <v>41297</v>
      </c>
      <c r="G3103" s="5">
        <v>54789</v>
      </c>
      <c r="H3103" s="4" t="str">
        <f>""</f>
        <v/>
      </c>
      <c r="I3103" s="4" t="str">
        <f>""</f>
        <v/>
      </c>
    </row>
    <row r="3104" spans="1:9" x14ac:dyDescent="0.3">
      <c r="A3104" s="1" t="str">
        <f>"81"</f>
        <v>81</v>
      </c>
      <c r="B3104" s="4" t="str">
        <f>"SARL GUY DENGASC ET FILS"</f>
        <v>SARL GUY DENGASC ET FILS</v>
      </c>
      <c r="C3104" s="4">
        <v>378357073</v>
      </c>
      <c r="D3104" s="3" t="s">
        <v>0</v>
      </c>
      <c r="E3104" s="2" t="str">
        <f>"PR8100009D"</f>
        <v>PR8100009D</v>
      </c>
      <c r="F3104" s="5">
        <v>39044</v>
      </c>
      <c r="G3104" s="5">
        <v>54789</v>
      </c>
      <c r="H3104" s="4" t="str">
        <f>""</f>
        <v/>
      </c>
      <c r="I3104" s="4" t="str">
        <f>""</f>
        <v/>
      </c>
    </row>
    <row r="3105" spans="1:9" x14ac:dyDescent="0.3">
      <c r="A3105" s="1" t="str">
        <f>"81"</f>
        <v>81</v>
      </c>
      <c r="B3105" s="4" t="str">
        <f>"SARL GUY DENGASC ET FILS"</f>
        <v>SARL GUY DENGASC ET FILS</v>
      </c>
      <c r="C3105" s="4">
        <v>378357073</v>
      </c>
      <c r="D3105" s="3" t="s">
        <v>0</v>
      </c>
      <c r="E3105" s="2" t="str">
        <f>"0006806196"</f>
        <v>0006806196</v>
      </c>
      <c r="F3105" s="5">
        <v>39044</v>
      </c>
      <c r="G3105" s="5">
        <v>54789</v>
      </c>
      <c r="H3105" s="4" t="str">
        <f>""</f>
        <v/>
      </c>
      <c r="I3105" s="4" t="str">
        <f>""</f>
        <v/>
      </c>
    </row>
    <row r="3106" spans="1:9" x14ac:dyDescent="0.3">
      <c r="A3106" s="1" t="str">
        <f>"81"</f>
        <v>81</v>
      </c>
      <c r="B3106" s="4" t="str">
        <f>"DEMOLITION AUTO SUD"</f>
        <v>DEMOLITION AUTO SUD</v>
      </c>
      <c r="C3106" s="4">
        <v>378905897</v>
      </c>
      <c r="D3106" s="3" t="s">
        <v>0</v>
      </c>
      <c r="E3106" s="2" t="str">
        <f>"PR8100026D"</f>
        <v>PR8100026D</v>
      </c>
      <c r="F3106" s="5">
        <v>42097</v>
      </c>
      <c r="G3106" s="5">
        <v>54789</v>
      </c>
      <c r="H3106" s="4" t="str">
        <f>""</f>
        <v/>
      </c>
      <c r="I3106" s="4" t="str">
        <f>""</f>
        <v/>
      </c>
    </row>
    <row r="3107" spans="1:9" x14ac:dyDescent="0.3">
      <c r="A3107" s="1" t="str">
        <f>"81"</f>
        <v>81</v>
      </c>
      <c r="B3107" s="4" t="str">
        <f>"DEMOLITION AUTO SUD"</f>
        <v>DEMOLITION AUTO SUD</v>
      </c>
      <c r="C3107" s="4">
        <v>378905897</v>
      </c>
      <c r="D3107" s="3" t="s">
        <v>0</v>
      </c>
      <c r="E3107" s="2" t="str">
        <f>"0006806051"</f>
        <v>0006806051</v>
      </c>
      <c r="F3107" s="5">
        <v>42097</v>
      </c>
      <c r="G3107" s="5">
        <v>54789</v>
      </c>
      <c r="H3107" s="4" t="str">
        <f>""</f>
        <v/>
      </c>
      <c r="I3107" s="4" t="str">
        <f>""</f>
        <v/>
      </c>
    </row>
    <row r="3108" spans="1:9" x14ac:dyDescent="0.3">
      <c r="A3108" s="1" t="str">
        <f>"81"</f>
        <v>81</v>
      </c>
      <c r="B3108" s="4" t="str">
        <f>"SAS BRIANE ENVIRONNEMENT"</f>
        <v>SAS BRIANE ENVIRONNEMENT</v>
      </c>
      <c r="C3108" s="4">
        <v>419600077</v>
      </c>
      <c r="D3108" s="3" t="s">
        <v>0</v>
      </c>
      <c r="E3108" s="2" t="str">
        <f>"0006803808"</f>
        <v>0006803808</v>
      </c>
      <c r="F3108" s="5">
        <v>39045</v>
      </c>
      <c r="G3108" s="5">
        <v>54789</v>
      </c>
      <c r="H3108" s="4" t="str">
        <f>""</f>
        <v/>
      </c>
      <c r="I3108" s="4" t="str">
        <f>""</f>
        <v/>
      </c>
    </row>
    <row r="3109" spans="1:9" x14ac:dyDescent="0.3">
      <c r="A3109" s="1" t="str">
        <f>"81"</f>
        <v>81</v>
      </c>
      <c r="B3109" s="4" t="str">
        <f>"SAS BRIANE ENVIRONNEMENT"</f>
        <v>SAS BRIANE ENVIRONNEMENT</v>
      </c>
      <c r="C3109" s="4">
        <v>419600077</v>
      </c>
      <c r="D3109" s="3" t="s">
        <v>0</v>
      </c>
      <c r="E3109" s="2" t="str">
        <f>"PR8100008D"</f>
        <v>PR8100008D</v>
      </c>
      <c r="F3109" s="5">
        <v>43434</v>
      </c>
      <c r="G3109" s="5">
        <v>54789</v>
      </c>
      <c r="H3109" s="4" t="str">
        <f>""</f>
        <v/>
      </c>
      <c r="I3109" s="4" t="str">
        <f>""</f>
        <v/>
      </c>
    </row>
    <row r="3110" spans="1:9" x14ac:dyDescent="0.3">
      <c r="A3110" s="1" t="str">
        <f>"81"</f>
        <v>81</v>
      </c>
      <c r="B3110" s="4" t="str">
        <f>"SARL CARLUS CASS"</f>
        <v>SARL CARLUS CASS</v>
      </c>
      <c r="C3110" s="4">
        <v>424635035</v>
      </c>
      <c r="D3110" s="3" t="s">
        <v>0</v>
      </c>
      <c r="E3110" s="2" t="str">
        <f>"PR8100003D"</f>
        <v>PR8100003D</v>
      </c>
      <c r="F3110" s="5">
        <v>38896</v>
      </c>
      <c r="G3110" s="5">
        <v>54789</v>
      </c>
      <c r="H3110" s="4" t="str">
        <f>""</f>
        <v/>
      </c>
      <c r="I3110" s="4" t="str">
        <f>""</f>
        <v/>
      </c>
    </row>
    <row r="3111" spans="1:9" x14ac:dyDescent="0.3">
      <c r="A3111" s="1" t="str">
        <f>"81"</f>
        <v>81</v>
      </c>
      <c r="B3111" s="4" t="str">
        <f>"SARL CARLUS CASS"</f>
        <v>SARL CARLUS CASS</v>
      </c>
      <c r="C3111" s="4">
        <v>424635035</v>
      </c>
      <c r="D3111" s="3" t="s">
        <v>0</v>
      </c>
      <c r="E3111" s="2" t="str">
        <f>"0006806198"</f>
        <v>0006806198</v>
      </c>
      <c r="F3111" s="5">
        <v>38896</v>
      </c>
      <c r="G3111" s="5">
        <v>54789</v>
      </c>
      <c r="H3111" s="4" t="str">
        <f>""</f>
        <v/>
      </c>
      <c r="I3111" s="4" t="str">
        <f>""</f>
        <v/>
      </c>
    </row>
    <row r="3112" spans="1:9" x14ac:dyDescent="0.3">
      <c r="A3112" s="1" t="str">
        <f>"81"</f>
        <v>81</v>
      </c>
      <c r="B3112" s="4" t="str">
        <f>"SARL CADT"</f>
        <v>SARL CADT</v>
      </c>
      <c r="C3112" s="4">
        <v>429038045</v>
      </c>
      <c r="D3112" s="3" t="s">
        <v>0</v>
      </c>
      <c r="E3112" s="2" t="str">
        <f>"PR8100005D"</f>
        <v>PR8100005D</v>
      </c>
      <c r="F3112" s="5">
        <v>38989</v>
      </c>
      <c r="G3112" s="5">
        <v>54789</v>
      </c>
      <c r="H3112" s="4" t="str">
        <f>""</f>
        <v/>
      </c>
      <c r="I3112" s="4" t="str">
        <f>""</f>
        <v/>
      </c>
    </row>
    <row r="3113" spans="1:9" x14ac:dyDescent="0.3">
      <c r="A3113" s="1" t="str">
        <f>"81"</f>
        <v>81</v>
      </c>
      <c r="B3113" s="4" t="str">
        <f>"SARL CADT"</f>
        <v>SARL CADT</v>
      </c>
      <c r="C3113" s="4">
        <v>429038045</v>
      </c>
      <c r="D3113" s="3" t="s">
        <v>0</v>
      </c>
      <c r="E3113" s="2" t="str">
        <f>"0006806050"</f>
        <v>0006806050</v>
      </c>
      <c r="F3113" s="5">
        <v>38989</v>
      </c>
      <c r="G3113" s="5">
        <v>54789</v>
      </c>
      <c r="H3113" s="4" t="str">
        <f>""</f>
        <v/>
      </c>
      <c r="I3113" s="4" t="str">
        <f>""</f>
        <v/>
      </c>
    </row>
    <row r="3114" spans="1:9" x14ac:dyDescent="0.3">
      <c r="A3114" s="1" t="str">
        <f>"81"</f>
        <v>81</v>
      </c>
      <c r="B3114" s="4" t="str">
        <f>"OCCITANIE AUTOS CASSE"</f>
        <v>OCCITANIE AUTOS CASSE</v>
      </c>
      <c r="C3114" s="4">
        <v>440590123</v>
      </c>
      <c r="D3114" s="3" t="s">
        <v>0</v>
      </c>
      <c r="E3114" s="2" t="str">
        <f>"0006806099"</f>
        <v>0006806099</v>
      </c>
      <c r="F3114" s="5">
        <v>41570</v>
      </c>
      <c r="G3114" s="5">
        <v>54789</v>
      </c>
      <c r="H3114" s="4" t="str">
        <f>""</f>
        <v/>
      </c>
      <c r="I3114" s="4" t="str">
        <f>""</f>
        <v/>
      </c>
    </row>
    <row r="3115" spans="1:9" x14ac:dyDescent="0.3">
      <c r="A3115" s="1" t="str">
        <f>"81"</f>
        <v>81</v>
      </c>
      <c r="B3115" s="4" t="str">
        <f>"SARL VIDAL AUTOS ET UTILITAIRES"</f>
        <v>SARL VIDAL AUTOS ET UTILITAIRES</v>
      </c>
      <c r="C3115" s="4">
        <v>440590123</v>
      </c>
      <c r="D3115" s="3" t="s">
        <v>0</v>
      </c>
      <c r="E3115" s="2" t="str">
        <f>"PR8100015D"</f>
        <v>PR8100015D</v>
      </c>
      <c r="F3115" s="5">
        <v>43774</v>
      </c>
      <c r="G3115" s="5">
        <v>54789</v>
      </c>
      <c r="H3115" s="4" t="str">
        <f>""</f>
        <v/>
      </c>
      <c r="I3115" s="4" t="str">
        <f>""</f>
        <v/>
      </c>
    </row>
    <row r="3116" spans="1:9" x14ac:dyDescent="0.3">
      <c r="A3116" s="1" t="str">
        <f>"81"</f>
        <v>81</v>
      </c>
      <c r="B3116" s="4" t="str">
        <f>"OCCITANIE AUTOS CASSE"</f>
        <v>OCCITANIE AUTOS CASSE</v>
      </c>
      <c r="C3116" s="4">
        <v>440590123</v>
      </c>
      <c r="D3116" s="3" t="s">
        <v>0</v>
      </c>
      <c r="E3116" s="2" t="str">
        <f>"PR8100015D"</f>
        <v>PR8100015D</v>
      </c>
      <c r="F3116" s="5">
        <v>43774</v>
      </c>
      <c r="G3116" s="5">
        <v>54789</v>
      </c>
      <c r="H3116" s="4" t="str">
        <f>""</f>
        <v/>
      </c>
      <c r="I3116" s="4" t="str">
        <f>""</f>
        <v/>
      </c>
    </row>
    <row r="3117" spans="1:9" x14ac:dyDescent="0.3">
      <c r="A3117" s="1" t="str">
        <f>"81"</f>
        <v>81</v>
      </c>
      <c r="B3117" s="4" t="str">
        <f>"SAS SURPLUS MOTOS"</f>
        <v>SAS SURPLUS MOTOS</v>
      </c>
      <c r="C3117" s="4">
        <v>519002471</v>
      </c>
      <c r="D3117" s="3" t="s">
        <v>0</v>
      </c>
      <c r="E3117" s="2" t="str">
        <f>"0006810587"</f>
        <v>0006810587</v>
      </c>
      <c r="F3117" s="5">
        <v>41561</v>
      </c>
      <c r="G3117" s="5">
        <v>54789</v>
      </c>
      <c r="H3117" s="4" t="str">
        <f>""</f>
        <v/>
      </c>
      <c r="I3117" s="4" t="str">
        <f>""</f>
        <v/>
      </c>
    </row>
    <row r="3118" spans="1:9" x14ac:dyDescent="0.3">
      <c r="A3118" s="1" t="str">
        <f>"81"</f>
        <v>81</v>
      </c>
      <c r="B3118" s="4" t="str">
        <f>"SAS SURPLUS MOTOS"</f>
        <v>SAS SURPLUS MOTOS</v>
      </c>
      <c r="C3118" s="4">
        <v>519002471</v>
      </c>
      <c r="D3118" s="3" t="s">
        <v>0</v>
      </c>
      <c r="E3118" s="2" t="str">
        <f>"PR8100023D"</f>
        <v>PR8100023D</v>
      </c>
      <c r="F3118" s="5">
        <v>41670</v>
      </c>
      <c r="G3118" s="5">
        <v>54789</v>
      </c>
      <c r="H3118" s="4" t="str">
        <f>""</f>
        <v/>
      </c>
      <c r="I3118" s="4" t="str">
        <f>""</f>
        <v/>
      </c>
    </row>
    <row r="3119" spans="1:9" x14ac:dyDescent="0.3">
      <c r="A3119" s="1" t="str">
        <f>"81"</f>
        <v>81</v>
      </c>
      <c r="B3119" s="4" t="str">
        <f>"CASS'AUTO VG"</f>
        <v>CASS'AUTO VG</v>
      </c>
      <c r="C3119" s="4">
        <v>534362496</v>
      </c>
      <c r="D3119" s="3" t="s">
        <v>0</v>
      </c>
      <c r="E3119" s="2" t="str">
        <f>"0003700825"</f>
        <v>0003700825</v>
      </c>
      <c r="F3119" s="5">
        <v>40966</v>
      </c>
      <c r="G3119" s="5">
        <v>54789</v>
      </c>
      <c r="H3119" s="4" t="str">
        <f>""</f>
        <v/>
      </c>
      <c r="I3119" s="4" t="str">
        <f>""</f>
        <v/>
      </c>
    </row>
    <row r="3120" spans="1:9" x14ac:dyDescent="0.3">
      <c r="A3120" s="1" t="str">
        <f>"81"</f>
        <v>81</v>
      </c>
      <c r="B3120" s="4" t="str">
        <f>"CASS'AUTO VG"</f>
        <v>CASS'AUTO VG</v>
      </c>
      <c r="C3120" s="4">
        <v>534362496</v>
      </c>
      <c r="D3120" s="3" t="s">
        <v>0</v>
      </c>
      <c r="E3120" s="2" t="str">
        <f>"PR8100018D"</f>
        <v>PR8100018D</v>
      </c>
      <c r="F3120" s="5">
        <v>40966</v>
      </c>
      <c r="G3120" s="5">
        <v>54789</v>
      </c>
      <c r="H3120" s="4" t="str">
        <f>""</f>
        <v/>
      </c>
      <c r="I3120" s="4" t="str">
        <f>""</f>
        <v/>
      </c>
    </row>
    <row r="3121" spans="1:9" x14ac:dyDescent="0.3">
      <c r="A3121" s="1" t="str">
        <f>"81"</f>
        <v>81</v>
      </c>
      <c r="B3121" s="4" t="str">
        <f>"EURL CASSE AUTO ROLLAND"</f>
        <v>EURL CASSE AUTO ROLLAND</v>
      </c>
      <c r="C3121" s="4">
        <v>798125605</v>
      </c>
      <c r="D3121" s="3" t="s">
        <v>0</v>
      </c>
      <c r="E3121" s="2" t="str">
        <f>"0006806058"</f>
        <v>0006806058</v>
      </c>
      <c r="F3121" s="5">
        <v>38989</v>
      </c>
      <c r="G3121" s="5">
        <v>54789</v>
      </c>
      <c r="H3121" s="4" t="str">
        <f>""</f>
        <v/>
      </c>
      <c r="I3121" s="4" t="str">
        <f>""</f>
        <v/>
      </c>
    </row>
    <row r="3122" spans="1:9" x14ac:dyDescent="0.3">
      <c r="A3122" s="1" t="str">
        <f>"81"</f>
        <v>81</v>
      </c>
      <c r="B3122" s="4" t="str">
        <f>"EURL CASSE AUTO ROLLAND"</f>
        <v>EURL CASSE AUTO ROLLAND</v>
      </c>
      <c r="C3122" s="4">
        <v>798125605</v>
      </c>
      <c r="D3122" s="3" t="s">
        <v>0</v>
      </c>
      <c r="E3122" s="2" t="str">
        <f>"PR8100024D"</f>
        <v>PR8100024D</v>
      </c>
      <c r="F3122" s="5">
        <v>41691</v>
      </c>
      <c r="G3122" s="5">
        <v>54789</v>
      </c>
      <c r="H3122" s="4" t="str">
        <f>""</f>
        <v/>
      </c>
      <c r="I3122" s="4" t="str">
        <f>""</f>
        <v/>
      </c>
    </row>
    <row r="3123" spans="1:9" x14ac:dyDescent="0.3">
      <c r="A3123" s="1" t="str">
        <f>"81"</f>
        <v>81</v>
      </c>
      <c r="B3123" s="4" t="str">
        <f>"SARL ECO AUTO RECYL"</f>
        <v>SARL ECO AUTO RECYL</v>
      </c>
      <c r="C3123" s="4">
        <v>802632711</v>
      </c>
      <c r="D3123" s="3" t="s">
        <v>0</v>
      </c>
      <c r="E3123" s="2" t="str">
        <f>"PR8100025D"</f>
        <v>PR8100025D</v>
      </c>
      <c r="F3123" s="5">
        <v>41963</v>
      </c>
      <c r="G3123" s="5">
        <v>54789</v>
      </c>
      <c r="H3123" s="4" t="str">
        <f>""</f>
        <v/>
      </c>
      <c r="I3123" s="4" t="str">
        <f>""</f>
        <v/>
      </c>
    </row>
    <row r="3124" spans="1:9" x14ac:dyDescent="0.3">
      <c r="A3124" s="1" t="str">
        <f>"81"</f>
        <v>81</v>
      </c>
      <c r="B3124" s="4" t="str">
        <f>"SARL ECO AUTO RECYL"</f>
        <v>SARL ECO AUTO RECYL</v>
      </c>
      <c r="C3124" s="4">
        <v>802632711</v>
      </c>
      <c r="D3124" s="3" t="s">
        <v>0</v>
      </c>
      <c r="E3124" s="2" t="str">
        <f>"0006810877"</f>
        <v>0006810877</v>
      </c>
      <c r="F3124" s="5">
        <v>41963</v>
      </c>
      <c r="G3124" s="5">
        <v>54789</v>
      </c>
      <c r="H3124" s="4" t="str">
        <f>""</f>
        <v/>
      </c>
      <c r="I3124" s="4" t="str">
        <f>""</f>
        <v/>
      </c>
    </row>
    <row r="3125" spans="1:9" x14ac:dyDescent="0.3">
      <c r="A3125" s="1" t="str">
        <f>"81"</f>
        <v>81</v>
      </c>
      <c r="B3125" s="4" t="str">
        <f>"SARL ATOUT FER"</f>
        <v>SARL ATOUT FER</v>
      </c>
      <c r="C3125" s="4">
        <v>803039601</v>
      </c>
      <c r="D3125" s="3" t="s">
        <v>0</v>
      </c>
      <c r="E3125" s="2" t="str">
        <f>"PR8100027D"</f>
        <v>PR8100027D</v>
      </c>
      <c r="F3125" s="5">
        <v>42419</v>
      </c>
      <c r="G3125" s="5">
        <v>54789</v>
      </c>
      <c r="H3125" s="4" t="str">
        <f>""</f>
        <v/>
      </c>
      <c r="I3125" s="4" t="str">
        <f>""</f>
        <v/>
      </c>
    </row>
    <row r="3126" spans="1:9" x14ac:dyDescent="0.3">
      <c r="A3126" s="1" t="str">
        <f>"81"</f>
        <v>81</v>
      </c>
      <c r="B3126" s="4" t="str">
        <f>"CASSE AUTO CTL"</f>
        <v>CASSE AUTO CTL</v>
      </c>
      <c r="C3126" s="4">
        <v>817902992</v>
      </c>
      <c r="D3126" s="3" t="s">
        <v>0</v>
      </c>
      <c r="E3126" s="2" t="str">
        <f>"0006806047"</f>
        <v>0006806047</v>
      </c>
      <c r="F3126" s="5">
        <v>38887</v>
      </c>
      <c r="G3126" s="5">
        <v>54789</v>
      </c>
      <c r="H3126" s="4" t="str">
        <f>""</f>
        <v/>
      </c>
      <c r="I3126" s="4" t="str">
        <f>""</f>
        <v/>
      </c>
    </row>
    <row r="3127" spans="1:9" x14ac:dyDescent="0.3">
      <c r="A3127" s="1" t="str">
        <f>"81"</f>
        <v>81</v>
      </c>
      <c r="B3127" s="4" t="str">
        <f>"CASSE AUTO CTL"</f>
        <v>CASSE AUTO CTL</v>
      </c>
      <c r="C3127" s="4">
        <v>817902992</v>
      </c>
      <c r="D3127" s="3" t="s">
        <v>0</v>
      </c>
      <c r="E3127" s="2" t="str">
        <f>"PR8100028D"</f>
        <v>PR8100028D</v>
      </c>
      <c r="F3127" s="5">
        <v>42487</v>
      </c>
      <c r="G3127" s="5">
        <v>54789</v>
      </c>
      <c r="H3127" s="4" t="str">
        <f>""</f>
        <v/>
      </c>
      <c r="I3127" s="4" t="str">
        <f>""</f>
        <v/>
      </c>
    </row>
    <row r="3128" spans="1:9" x14ac:dyDescent="0.3">
      <c r="A3128" s="1" t="str">
        <f>"81"</f>
        <v>81</v>
      </c>
      <c r="B3128" s="4" t="str">
        <f>"STE SURPLUS INDUSTRIES"</f>
        <v>STE SURPLUS INDUSTRIES</v>
      </c>
      <c r="C3128" s="4">
        <v>834349557</v>
      </c>
      <c r="D3128" s="3" t="s">
        <v>0</v>
      </c>
      <c r="E3128" s="2" t="str">
        <f>"0003702128"</f>
        <v>0003702128</v>
      </c>
      <c r="F3128" s="5">
        <v>43585</v>
      </c>
      <c r="G3128" s="5">
        <v>54789</v>
      </c>
      <c r="H3128" s="4" t="str">
        <f>""</f>
        <v/>
      </c>
      <c r="I3128" s="4" t="str">
        <f>""</f>
        <v/>
      </c>
    </row>
    <row r="3129" spans="1:9" x14ac:dyDescent="0.3">
      <c r="A3129" s="1" t="str">
        <f>"81"</f>
        <v>81</v>
      </c>
      <c r="B3129" s="4" t="str">
        <f>"STE SURPLUS INDUSTRIES"</f>
        <v>STE SURPLUS INDUSTRIES</v>
      </c>
      <c r="C3129" s="4">
        <v>834349557</v>
      </c>
      <c r="D3129" s="3" t="s">
        <v>0</v>
      </c>
      <c r="E3129" s="2" t="str">
        <f>"PR8100029D"</f>
        <v>PR8100029D</v>
      </c>
      <c r="F3129" s="5">
        <v>43585</v>
      </c>
      <c r="G3129" s="5">
        <v>54789</v>
      </c>
      <c r="H3129" s="4" t="str">
        <f>""</f>
        <v/>
      </c>
      <c r="I3129" s="4" t="str">
        <f>""</f>
        <v/>
      </c>
    </row>
    <row r="3130" spans="1:9" x14ac:dyDescent="0.3">
      <c r="A3130" s="1" t="str">
        <f>"81"</f>
        <v>81</v>
      </c>
      <c r="B3130" s="4" t="str">
        <f>"BOULOC AUTOMOBILE"</f>
        <v>BOULOC AUTOMOBILE</v>
      </c>
      <c r="C3130" s="4">
        <v>838317139</v>
      </c>
      <c r="D3130" s="3" t="s">
        <v>0</v>
      </c>
      <c r="E3130" s="2" t="str">
        <f>"PR8100017D"</f>
        <v>PR8100017D</v>
      </c>
      <c r="F3130" s="5">
        <v>44147</v>
      </c>
      <c r="G3130" s="5">
        <v>54789</v>
      </c>
      <c r="H3130" s="4" t="str">
        <f>""</f>
        <v/>
      </c>
      <c r="I3130" s="4" t="str">
        <f>""</f>
        <v/>
      </c>
    </row>
    <row r="3131" spans="1:9" x14ac:dyDescent="0.3">
      <c r="A3131" s="1" t="str">
        <f>"81"</f>
        <v>81</v>
      </c>
      <c r="B3131" s="4" t="str">
        <f>"SAS BOULOC AUTOMOBILE"</f>
        <v>SAS BOULOC AUTOMOBILE</v>
      </c>
      <c r="C3131" s="4">
        <v>838317139</v>
      </c>
      <c r="D3131" s="3" t="s">
        <v>0</v>
      </c>
      <c r="E3131" s="2" t="str">
        <f>"0006806208"</f>
        <v>0006806208</v>
      </c>
      <c r="F3131" s="5">
        <v>42387</v>
      </c>
      <c r="G3131" s="5">
        <v>54789</v>
      </c>
      <c r="H3131" s="4" t="str">
        <f>""</f>
        <v/>
      </c>
      <c r="I3131" s="4" t="str">
        <f>""</f>
        <v/>
      </c>
    </row>
    <row r="3132" spans="1:9" x14ac:dyDescent="0.3">
      <c r="A3132" s="1" t="str">
        <f>"81"</f>
        <v>81</v>
      </c>
      <c r="B3132" s="4" t="str">
        <f>"IDOINE LESCOUT"</f>
        <v>IDOINE LESCOUT</v>
      </c>
      <c r="C3132" s="4">
        <v>901207134</v>
      </c>
      <c r="D3132" s="3" t="s">
        <v>0</v>
      </c>
      <c r="E3132" s="2" t="str">
        <f>"PR8100011D"</f>
        <v>PR8100011D</v>
      </c>
      <c r="F3132" s="5">
        <v>43453</v>
      </c>
      <c r="G3132" s="5">
        <v>54789</v>
      </c>
      <c r="H3132" s="4" t="str">
        <f>""</f>
        <v/>
      </c>
      <c r="I3132" s="4" t="str">
        <f>""</f>
        <v/>
      </c>
    </row>
    <row r="3133" spans="1:9" x14ac:dyDescent="0.3">
      <c r="A3133" s="1" t="str">
        <f>"81"</f>
        <v>81</v>
      </c>
      <c r="B3133" s="4" t="str">
        <f>"IDOINE LESCOUT"</f>
        <v>IDOINE LESCOUT</v>
      </c>
      <c r="C3133" s="4">
        <v>901207134</v>
      </c>
      <c r="D3133" s="3" t="s">
        <v>0</v>
      </c>
      <c r="E3133" s="2" t="str">
        <f>"0006805999"</f>
        <v>0006805999</v>
      </c>
      <c r="F3133" s="5">
        <v>43453</v>
      </c>
      <c r="G3133" s="5">
        <v>54789</v>
      </c>
      <c r="H3133" s="4" t="str">
        <f>""</f>
        <v/>
      </c>
      <c r="I3133" s="4" t="str">
        <f>""</f>
        <v/>
      </c>
    </row>
    <row r="3134" spans="1:9" x14ac:dyDescent="0.3">
      <c r="A3134" s="1" t="str">
        <f>"82"</f>
        <v>82</v>
      </c>
      <c r="B3134" s="4" t="str">
        <f>"FOURMENT ET FILS"</f>
        <v>FOURMENT ET FILS</v>
      </c>
      <c r="C3134" s="4">
        <v>318252368</v>
      </c>
      <c r="D3134" s="3" t="s">
        <v>0</v>
      </c>
      <c r="E3134" s="2" t="str">
        <f>"PR8200004D"</f>
        <v>PR8200004D</v>
      </c>
      <c r="F3134" s="5">
        <v>43472</v>
      </c>
      <c r="G3134" s="5">
        <v>54789</v>
      </c>
      <c r="H3134" s="4" t="str">
        <f>""</f>
        <v/>
      </c>
      <c r="I3134" s="4" t="str">
        <f>""</f>
        <v/>
      </c>
    </row>
    <row r="3135" spans="1:9" x14ac:dyDescent="0.3">
      <c r="A3135" s="1" t="str">
        <f>"82"</f>
        <v>82</v>
      </c>
      <c r="B3135" s="4" t="str">
        <f>"FOURMENT ET FILS"</f>
        <v>FOURMENT ET FILS</v>
      </c>
      <c r="C3135" s="4">
        <v>318252368</v>
      </c>
      <c r="D3135" s="3" t="s">
        <v>0</v>
      </c>
      <c r="E3135" s="2" t="str">
        <f>"0006803026"</f>
        <v>0006803026</v>
      </c>
      <c r="F3135" s="5">
        <v>43472</v>
      </c>
      <c r="G3135" s="5">
        <v>54789</v>
      </c>
      <c r="H3135" s="4" t="str">
        <f>""</f>
        <v/>
      </c>
      <c r="I3135" s="4" t="str">
        <f>""</f>
        <v/>
      </c>
    </row>
    <row r="3136" spans="1:9" x14ac:dyDescent="0.3">
      <c r="A3136" s="1" t="str">
        <f>"82"</f>
        <v>82</v>
      </c>
      <c r="B3136" s="4" t="str">
        <f>"TOUZERY SARL"</f>
        <v>TOUZERY SARL</v>
      </c>
      <c r="C3136" s="4">
        <v>334216454</v>
      </c>
      <c r="D3136" s="3" t="s">
        <v>0</v>
      </c>
      <c r="E3136" s="2" t="str">
        <f>"PR8200003D"</f>
        <v>PR8200003D</v>
      </c>
      <c r="F3136" s="5">
        <v>41768</v>
      </c>
      <c r="G3136" s="5">
        <v>54789</v>
      </c>
      <c r="H3136" s="4" t="str">
        <f>""</f>
        <v/>
      </c>
      <c r="I3136" s="4" t="str">
        <f>""</f>
        <v/>
      </c>
    </row>
    <row r="3137" spans="1:9" x14ac:dyDescent="0.3">
      <c r="A3137" s="1" t="str">
        <f>"82"</f>
        <v>82</v>
      </c>
      <c r="B3137" s="4" t="str">
        <f>"TOUZERY SARL"</f>
        <v>TOUZERY SARL</v>
      </c>
      <c r="C3137" s="4">
        <v>334216454</v>
      </c>
      <c r="D3137" s="3" t="s">
        <v>0</v>
      </c>
      <c r="E3137" s="2" t="str">
        <f>"0006803019"</f>
        <v>0006803019</v>
      </c>
      <c r="F3137" s="5">
        <v>41768</v>
      </c>
      <c r="G3137" s="5">
        <v>54789</v>
      </c>
      <c r="H3137" s="4" t="str">
        <f>""</f>
        <v/>
      </c>
      <c r="I3137" s="4" t="str">
        <f>""</f>
        <v/>
      </c>
    </row>
    <row r="3138" spans="1:9" x14ac:dyDescent="0.3">
      <c r="A3138" s="1" t="str">
        <f>"82"</f>
        <v>82</v>
      </c>
      <c r="B3138" s="4" t="str">
        <f>"SARL ACO J.DESMONS"</f>
        <v>SARL ACO J.DESMONS</v>
      </c>
      <c r="C3138" s="4">
        <v>337632103</v>
      </c>
      <c r="D3138" s="3" t="s">
        <v>0</v>
      </c>
      <c r="E3138" s="2" t="str">
        <f>"PR8200007D"</f>
        <v>PR8200007D</v>
      </c>
      <c r="F3138" s="5">
        <v>43910</v>
      </c>
      <c r="G3138" s="5">
        <v>54789</v>
      </c>
      <c r="H3138" s="4" t="str">
        <f>""</f>
        <v/>
      </c>
      <c r="I3138" s="4" t="str">
        <f>""</f>
        <v/>
      </c>
    </row>
    <row r="3139" spans="1:9" x14ac:dyDescent="0.3">
      <c r="A3139" s="1" t="str">
        <f>"82"</f>
        <v>82</v>
      </c>
      <c r="B3139" s="4" t="str">
        <f>"SARL ACO J.DESMONS"</f>
        <v>SARL ACO J.DESMONS</v>
      </c>
      <c r="C3139" s="4">
        <v>337632103</v>
      </c>
      <c r="D3139" s="3" t="s">
        <v>0</v>
      </c>
      <c r="E3139" s="2" t="str">
        <f>"0006802749"</f>
        <v>0006802749</v>
      </c>
      <c r="F3139" s="5">
        <v>43910</v>
      </c>
      <c r="G3139" s="5">
        <v>54789</v>
      </c>
      <c r="H3139" s="4" t="str">
        <f>""</f>
        <v/>
      </c>
      <c r="I3139" s="4" t="str">
        <f>""</f>
        <v/>
      </c>
    </row>
    <row r="3140" spans="1:9" x14ac:dyDescent="0.3">
      <c r="A3140" s="1" t="str">
        <f>"82"</f>
        <v>82</v>
      </c>
      <c r="B3140" s="4" t="str">
        <f>"SARL MAZIERES"</f>
        <v>SARL MAZIERES</v>
      </c>
      <c r="C3140" s="4">
        <v>344518774</v>
      </c>
      <c r="D3140" s="3" t="s">
        <v>0</v>
      </c>
      <c r="E3140" s="2" t="str">
        <f>"PR8200009D"</f>
        <v>PR8200009D</v>
      </c>
      <c r="F3140" s="5">
        <v>43497</v>
      </c>
      <c r="G3140" s="5">
        <v>54789</v>
      </c>
      <c r="H3140" s="4" t="str">
        <f>""</f>
        <v/>
      </c>
      <c r="I3140" s="4" t="str">
        <f>""</f>
        <v/>
      </c>
    </row>
    <row r="3141" spans="1:9" x14ac:dyDescent="0.3">
      <c r="A3141" s="1" t="str">
        <f>"82"</f>
        <v>82</v>
      </c>
      <c r="B3141" s="4" t="str">
        <f>"SARL MAZIERES"</f>
        <v>SARL MAZIERES</v>
      </c>
      <c r="C3141" s="4">
        <v>344518774</v>
      </c>
      <c r="D3141" s="3" t="s">
        <v>0</v>
      </c>
      <c r="E3141" s="2" t="str">
        <f>"0006802928"</f>
        <v>0006802928</v>
      </c>
      <c r="F3141" s="5">
        <v>43497</v>
      </c>
      <c r="G3141" s="5">
        <v>54789</v>
      </c>
      <c r="H3141" s="4" t="str">
        <f>""</f>
        <v/>
      </c>
      <c r="I3141" s="4" t="str">
        <f>""</f>
        <v/>
      </c>
    </row>
    <row r="3142" spans="1:9" x14ac:dyDescent="0.3">
      <c r="A3142" s="1" t="str">
        <f>"82"</f>
        <v>82</v>
      </c>
      <c r="B3142" s="4" t="str">
        <f>"AFM RECYCLAGE (ex Bartîng Recycling"</f>
        <v>AFM RECYCLAGE (ex Bartîng Recycling</v>
      </c>
      <c r="C3142" s="4">
        <v>383482635</v>
      </c>
      <c r="D3142" s="3" t="s">
        <v>0</v>
      </c>
      <c r="E3142" s="2" t="str">
        <f>"PR8200013D"</f>
        <v>PR8200013D</v>
      </c>
      <c r="F3142" s="5">
        <v>43160</v>
      </c>
      <c r="G3142" s="5">
        <v>54789</v>
      </c>
      <c r="H3142" s="4" t="str">
        <f>""</f>
        <v/>
      </c>
      <c r="I3142" s="4" t="str">
        <f>""</f>
        <v/>
      </c>
    </row>
    <row r="3143" spans="1:9" x14ac:dyDescent="0.3">
      <c r="A3143" s="1" t="str">
        <f>"82"</f>
        <v>82</v>
      </c>
      <c r="B3143" s="4" t="str">
        <f>"AFM RECYCLAGE (ex Bartîng Recycling"</f>
        <v>AFM RECYCLAGE (ex Bartîng Recycling</v>
      </c>
      <c r="C3143" s="4">
        <v>383482635</v>
      </c>
      <c r="D3143" s="3" t="s">
        <v>0</v>
      </c>
      <c r="E3143" s="2" t="str">
        <f>"0006805574"</f>
        <v>0006805574</v>
      </c>
      <c r="F3143" s="5">
        <v>43160</v>
      </c>
      <c r="G3143" s="5">
        <v>54789</v>
      </c>
      <c r="H3143" s="4" t="str">
        <f>""</f>
        <v/>
      </c>
      <c r="I3143" s="4" t="str">
        <f>""</f>
        <v/>
      </c>
    </row>
    <row r="3144" spans="1:9" x14ac:dyDescent="0.3">
      <c r="A3144" s="1" t="str">
        <f>"82"</f>
        <v>82</v>
      </c>
      <c r="B3144" s="4" t="str">
        <f>"LAURENT SERVICES"</f>
        <v>LAURENT SERVICES</v>
      </c>
      <c r="C3144" s="4">
        <v>388776346</v>
      </c>
      <c r="D3144" s="3" t="s">
        <v>0</v>
      </c>
      <c r="E3144" s="2" t="str">
        <f>"PR8200016D"</f>
        <v>PR8200016D</v>
      </c>
      <c r="F3144" s="5">
        <v>44867</v>
      </c>
      <c r="G3144" s="5">
        <v>54789</v>
      </c>
      <c r="H3144" s="4" t="str">
        <f>""</f>
        <v/>
      </c>
      <c r="I3144" s="4" t="str">
        <f>""</f>
        <v/>
      </c>
    </row>
    <row r="3145" spans="1:9" x14ac:dyDescent="0.3">
      <c r="A3145" s="1" t="str">
        <f>"82"</f>
        <v>82</v>
      </c>
      <c r="B3145" s="4" t="str">
        <f>"LAURENT SERVICES"</f>
        <v>LAURENT SERVICES</v>
      </c>
      <c r="C3145" s="4">
        <v>388776346</v>
      </c>
      <c r="D3145" s="3" t="s">
        <v>0</v>
      </c>
      <c r="E3145" s="2" t="str">
        <f>"0003704175"</f>
        <v>0003704175</v>
      </c>
      <c r="F3145" s="5">
        <v>44867</v>
      </c>
      <c r="G3145" s="5">
        <v>54789</v>
      </c>
      <c r="H3145" s="4" t="str">
        <f>""</f>
        <v/>
      </c>
      <c r="I3145" s="4" t="str">
        <f>""</f>
        <v/>
      </c>
    </row>
    <row r="3146" spans="1:9" x14ac:dyDescent="0.3">
      <c r="A3146" s="1" t="str">
        <f>"82"</f>
        <v>82</v>
      </c>
      <c r="B3146" s="4" t="str">
        <f>"ACCIAUTO SAS"</f>
        <v>ACCIAUTO SAS</v>
      </c>
      <c r="C3146" s="4">
        <v>434354585</v>
      </c>
      <c r="D3146" s="3" t="s">
        <v>0</v>
      </c>
      <c r="E3146" s="2" t="str">
        <f>"PR8200002D"</f>
        <v>PR8200002D</v>
      </c>
      <c r="F3146" s="5">
        <v>43925</v>
      </c>
      <c r="G3146" s="5">
        <v>54789</v>
      </c>
      <c r="H3146" s="4" t="str">
        <f>""</f>
        <v/>
      </c>
      <c r="I3146" s="4" t="str">
        <f>""</f>
        <v/>
      </c>
    </row>
    <row r="3147" spans="1:9" x14ac:dyDescent="0.3">
      <c r="A3147" s="1" t="str">
        <f>"82"</f>
        <v>82</v>
      </c>
      <c r="B3147" s="4" t="str">
        <f>"ACCIAUTO SAS"</f>
        <v>ACCIAUTO SAS</v>
      </c>
      <c r="C3147" s="4">
        <v>434354585</v>
      </c>
      <c r="D3147" s="3" t="s">
        <v>0</v>
      </c>
      <c r="E3147" s="2" t="str">
        <f>"0006803272"</f>
        <v>0006803272</v>
      </c>
      <c r="F3147" s="5">
        <v>43925</v>
      </c>
      <c r="G3147" s="5">
        <v>54789</v>
      </c>
      <c r="H3147" s="4" t="str">
        <f>""</f>
        <v/>
      </c>
      <c r="I3147" s="4" t="str">
        <f>""</f>
        <v/>
      </c>
    </row>
    <row r="3148" spans="1:9" x14ac:dyDescent="0.3">
      <c r="A3148" s="1" t="str">
        <f>"82"</f>
        <v>82</v>
      </c>
      <c r="B3148" s="4" t="str">
        <f>"SARL FERVERT"</f>
        <v>SARL FERVERT</v>
      </c>
      <c r="C3148" s="4">
        <v>502108715</v>
      </c>
      <c r="D3148" s="3" t="s">
        <v>0</v>
      </c>
      <c r="E3148" s="2" t="str">
        <f>"PR8200015D"</f>
        <v>PR8200015D</v>
      </c>
      <c r="F3148" s="5">
        <v>42803</v>
      </c>
      <c r="G3148" s="5">
        <v>54789</v>
      </c>
      <c r="H3148" s="4" t="str">
        <f>""</f>
        <v/>
      </c>
      <c r="I3148" s="4" t="str">
        <f>""</f>
        <v/>
      </c>
    </row>
    <row r="3149" spans="1:9" x14ac:dyDescent="0.3">
      <c r="A3149" s="1" t="str">
        <f>"82"</f>
        <v>82</v>
      </c>
      <c r="B3149" s="4" t="str">
        <f>"SARL FERVERT"</f>
        <v>SARL FERVERT</v>
      </c>
      <c r="C3149" s="4">
        <v>502108715</v>
      </c>
      <c r="D3149" s="3" t="s">
        <v>0</v>
      </c>
      <c r="E3149" s="2" t="str">
        <f>"0006806931"</f>
        <v>0006806931</v>
      </c>
      <c r="F3149" s="5">
        <v>42803</v>
      </c>
      <c r="G3149" s="5">
        <v>54789</v>
      </c>
      <c r="H3149" s="4" t="str">
        <f>""</f>
        <v/>
      </c>
      <c r="I3149" s="4" t="str">
        <f>""</f>
        <v/>
      </c>
    </row>
    <row r="3150" spans="1:9" x14ac:dyDescent="0.3">
      <c r="A3150" s="1" t="str">
        <f>"82"</f>
        <v>82</v>
      </c>
      <c r="B3150" s="4" t="str">
        <f>"SARL REDON Karine"</f>
        <v>SARL REDON Karine</v>
      </c>
      <c r="C3150" s="4">
        <v>537582553</v>
      </c>
      <c r="D3150" s="3" t="s">
        <v>0</v>
      </c>
      <c r="E3150" s="2" t="str">
        <f>"PR8200012D"</f>
        <v>PR8200012D</v>
      </c>
      <c r="F3150" s="5">
        <v>44103</v>
      </c>
      <c r="G3150" s="5">
        <v>54789</v>
      </c>
      <c r="H3150" s="4" t="str">
        <f>""</f>
        <v/>
      </c>
      <c r="I3150" s="4" t="str">
        <f>""</f>
        <v/>
      </c>
    </row>
    <row r="3151" spans="1:9" x14ac:dyDescent="0.3">
      <c r="A3151" s="1" t="str">
        <f>"82"</f>
        <v>82</v>
      </c>
      <c r="B3151" s="4" t="str">
        <f>"SARL REDON Karine"</f>
        <v>SARL REDON Karine</v>
      </c>
      <c r="C3151" s="4">
        <v>537582553</v>
      </c>
      <c r="D3151" s="3" t="s">
        <v>0</v>
      </c>
      <c r="E3151" s="2" t="str">
        <f>"0006802997"</f>
        <v>0006802997</v>
      </c>
      <c r="F3151" s="5">
        <v>44103</v>
      </c>
      <c r="G3151" s="5">
        <v>54789</v>
      </c>
      <c r="H3151" s="4" t="str">
        <f>""</f>
        <v/>
      </c>
      <c r="I3151" s="4" t="str">
        <f>""</f>
        <v/>
      </c>
    </row>
    <row r="3152" spans="1:9" x14ac:dyDescent="0.3">
      <c r="A3152" s="1" t="str">
        <f>"82"</f>
        <v>82</v>
      </c>
      <c r="B3152" s="4" t="str">
        <f>"DECONS OCCITANIE ALBIAS"</f>
        <v>DECONS OCCITANIE ALBIAS</v>
      </c>
      <c r="C3152" s="4">
        <v>832222541</v>
      </c>
      <c r="D3152" s="3" t="s">
        <v>0</v>
      </c>
      <c r="E3152" s="2" t="str">
        <f>"PR8200001D"</f>
        <v>PR8200001D</v>
      </c>
      <c r="F3152" s="5">
        <v>44965</v>
      </c>
      <c r="G3152" s="5">
        <v>54789</v>
      </c>
      <c r="H3152" s="4" t="str">
        <f>""</f>
        <v/>
      </c>
      <c r="I3152" s="4" t="str">
        <f>""</f>
        <v/>
      </c>
    </row>
    <row r="3153" spans="1:9" x14ac:dyDescent="0.3">
      <c r="A3153" s="1" t="str">
        <f>"82"</f>
        <v>82</v>
      </c>
      <c r="B3153" s="4" t="str">
        <f>"DECONS OCCITANIE ALBIAS"</f>
        <v>DECONS OCCITANIE ALBIAS</v>
      </c>
      <c r="C3153" s="4">
        <v>832222541</v>
      </c>
      <c r="D3153" s="3" t="s">
        <v>0</v>
      </c>
      <c r="E3153" s="2" t="str">
        <f>"0006804528"</f>
        <v>0006804528</v>
      </c>
      <c r="F3153" s="5">
        <v>44965</v>
      </c>
      <c r="G3153" s="5">
        <v>54789</v>
      </c>
      <c r="H3153" s="4" t="str">
        <f>""</f>
        <v/>
      </c>
      <c r="I3153" s="4" t="str">
        <f>""</f>
        <v/>
      </c>
    </row>
    <row r="3154" spans="1:9" x14ac:dyDescent="0.3">
      <c r="A3154" s="1" t="str">
        <f>"83"</f>
        <v>83</v>
      </c>
      <c r="B3154" s="4" t="str">
        <f>"Société AZUR METAUX"</f>
        <v>Société AZUR METAUX</v>
      </c>
      <c r="C3154" s="4">
        <v>304900137</v>
      </c>
      <c r="D3154" s="3" t="s">
        <v>0</v>
      </c>
      <c r="E3154" s="2" t="str">
        <f>"PR8300009D"</f>
        <v>PR8300009D</v>
      </c>
      <c r="F3154" s="5">
        <v>38992</v>
      </c>
      <c r="G3154" s="5">
        <v>54789</v>
      </c>
      <c r="H3154" s="4" t="str">
        <f>""</f>
        <v/>
      </c>
      <c r="I3154" s="4" t="str">
        <f>""</f>
        <v/>
      </c>
    </row>
    <row r="3155" spans="1:9" x14ac:dyDescent="0.3">
      <c r="A3155" s="1" t="str">
        <f>"83"</f>
        <v>83</v>
      </c>
      <c r="B3155" s="4" t="str">
        <f>"Société AZUR METAUX"</f>
        <v>Société AZUR METAUX</v>
      </c>
      <c r="C3155" s="4">
        <v>304900137</v>
      </c>
      <c r="D3155" s="3" t="s">
        <v>0</v>
      </c>
      <c r="E3155" s="2" t="str">
        <f>"0006401853"</f>
        <v>0006401853</v>
      </c>
      <c r="F3155" s="5">
        <v>38992</v>
      </c>
      <c r="G3155" s="5">
        <v>54789</v>
      </c>
      <c r="H3155" s="4" t="str">
        <f>""</f>
        <v/>
      </c>
      <c r="I3155" s="4" t="str">
        <f>""</f>
        <v/>
      </c>
    </row>
    <row r="3156" spans="1:9" x14ac:dyDescent="0.3">
      <c r="A3156" s="1" t="str">
        <f>"83"</f>
        <v>83</v>
      </c>
      <c r="B3156" s="4" t="str">
        <f>"SARL AUTO MOTO FIESCHI"</f>
        <v>SARL AUTO MOTO FIESCHI</v>
      </c>
      <c r="C3156" s="4">
        <v>327835047</v>
      </c>
      <c r="D3156" s="3" t="s">
        <v>0</v>
      </c>
      <c r="E3156" s="2" t="str">
        <f>"PR8300012D"</f>
        <v>PR8300012D</v>
      </c>
      <c r="F3156" s="5">
        <v>39003</v>
      </c>
      <c r="G3156" s="5">
        <v>54789</v>
      </c>
      <c r="H3156" s="4" t="str">
        <f>""</f>
        <v/>
      </c>
      <c r="I3156" s="4" t="str">
        <f>""</f>
        <v/>
      </c>
    </row>
    <row r="3157" spans="1:9" x14ac:dyDescent="0.3">
      <c r="A3157" s="1" t="str">
        <f>"83"</f>
        <v>83</v>
      </c>
      <c r="B3157" s="4" t="str">
        <f>"SARL AUTO MOTO FIESCHI"</f>
        <v>SARL AUTO MOTO FIESCHI</v>
      </c>
      <c r="C3157" s="4">
        <v>327835047</v>
      </c>
      <c r="D3157" s="3" t="s">
        <v>0</v>
      </c>
      <c r="E3157" s="2" t="str">
        <f>"0006400134"</f>
        <v>0006400134</v>
      </c>
      <c r="F3157" s="5">
        <v>39003</v>
      </c>
      <c r="G3157" s="5">
        <v>54789</v>
      </c>
      <c r="H3157" s="4" t="str">
        <f>""</f>
        <v/>
      </c>
      <c r="I3157" s="4" t="str">
        <f>""</f>
        <v/>
      </c>
    </row>
    <row r="3158" spans="1:9" x14ac:dyDescent="0.3">
      <c r="A3158" s="1" t="str">
        <f>"83"</f>
        <v>83</v>
      </c>
      <c r="B3158" s="4" t="str">
        <f>"Société Provençale de Ferrailles (PROFER)"</f>
        <v>Société Provençale de Ferrailles (PROFER)</v>
      </c>
      <c r="C3158" s="4">
        <v>331365338</v>
      </c>
      <c r="D3158" s="3" t="s">
        <v>0</v>
      </c>
      <c r="E3158" s="2" t="str">
        <f>"PR8300019D"</f>
        <v>PR8300019D</v>
      </c>
      <c r="F3158" s="5">
        <v>41429</v>
      </c>
      <c r="G3158" s="5">
        <v>54789</v>
      </c>
      <c r="H3158" s="4" t="str">
        <f>""</f>
        <v/>
      </c>
      <c r="I3158" s="4" t="str">
        <f>""</f>
        <v/>
      </c>
    </row>
    <row r="3159" spans="1:9" x14ac:dyDescent="0.3">
      <c r="A3159" s="1" t="str">
        <f>"83"</f>
        <v>83</v>
      </c>
      <c r="B3159" s="4" t="str">
        <f>"Société Provençale de Ferrailles (PROFER)"</f>
        <v>Société Provençale de Ferrailles (PROFER)</v>
      </c>
      <c r="C3159" s="4">
        <v>331365338</v>
      </c>
      <c r="D3159" s="3" t="s">
        <v>0</v>
      </c>
      <c r="E3159" s="2" t="str">
        <f>"0006410525"</f>
        <v>0006410525</v>
      </c>
      <c r="F3159" s="5">
        <v>41429</v>
      </c>
      <c r="G3159" s="5">
        <v>54789</v>
      </c>
      <c r="H3159" s="4" t="str">
        <f>""</f>
        <v/>
      </c>
      <c r="I3159" s="4" t="str">
        <f>""</f>
        <v/>
      </c>
    </row>
    <row r="3160" spans="1:9" x14ac:dyDescent="0.3">
      <c r="A3160" s="1" t="str">
        <f>"83"</f>
        <v>83</v>
      </c>
      <c r="B3160" s="4" t="str">
        <f>"PURFER (DERICHEBOURG)"</f>
        <v>PURFER (DERICHEBOURG)</v>
      </c>
      <c r="C3160" s="4">
        <v>332628171</v>
      </c>
      <c r="D3160" s="3" t="s">
        <v>0</v>
      </c>
      <c r="E3160" s="2" t="str">
        <f>"PR8300007D"</f>
        <v>PR8300007D</v>
      </c>
      <c r="F3160" s="5">
        <v>38986</v>
      </c>
      <c r="G3160" s="5">
        <v>54789</v>
      </c>
      <c r="H3160" s="4" t="str">
        <f>""</f>
        <v/>
      </c>
      <c r="I3160" s="4" t="str">
        <f>""</f>
        <v/>
      </c>
    </row>
    <row r="3161" spans="1:9" x14ac:dyDescent="0.3">
      <c r="A3161" s="1" t="str">
        <f>"83"</f>
        <v>83</v>
      </c>
      <c r="B3161" s="4" t="str">
        <f>"PURFER"</f>
        <v>PURFER</v>
      </c>
      <c r="C3161" s="4">
        <v>332628171</v>
      </c>
      <c r="D3161" s="3" t="s">
        <v>0</v>
      </c>
      <c r="E3161" s="2" t="str">
        <f>"PR8300030D"</f>
        <v>PR8300030D</v>
      </c>
      <c r="F3161" s="5">
        <v>45190</v>
      </c>
      <c r="G3161" s="5">
        <v>54789</v>
      </c>
      <c r="H3161" s="4" t="str">
        <f>""</f>
        <v/>
      </c>
      <c r="I3161" s="4" t="str">
        <f>""</f>
        <v/>
      </c>
    </row>
    <row r="3162" spans="1:9" x14ac:dyDescent="0.3">
      <c r="A3162" s="1" t="str">
        <f>"83"</f>
        <v>83</v>
      </c>
      <c r="B3162" s="4" t="str">
        <f>"PURFER (DERICHEBOURG)"</f>
        <v>PURFER (DERICHEBOURG)</v>
      </c>
      <c r="C3162" s="4">
        <v>332628171</v>
      </c>
      <c r="D3162" s="3" t="s">
        <v>0</v>
      </c>
      <c r="E3162" s="2" t="str">
        <f>"0006400124"</f>
        <v>0006400124</v>
      </c>
      <c r="F3162" s="5">
        <v>38986</v>
      </c>
      <c r="G3162" s="5">
        <v>54789</v>
      </c>
      <c r="H3162" s="4" t="str">
        <f>""</f>
        <v/>
      </c>
      <c r="I3162" s="4" t="str">
        <f>""</f>
        <v/>
      </c>
    </row>
    <row r="3163" spans="1:9" x14ac:dyDescent="0.3">
      <c r="A3163" s="1" t="str">
        <f>"83"</f>
        <v>83</v>
      </c>
      <c r="B3163" s="4" t="str">
        <f>"PURFER"</f>
        <v>PURFER</v>
      </c>
      <c r="C3163" s="4">
        <v>332628171</v>
      </c>
      <c r="D3163" s="3" t="s">
        <v>0</v>
      </c>
      <c r="E3163" s="2" t="str">
        <f>"0006408504"</f>
        <v>0006408504</v>
      </c>
      <c r="F3163" s="5">
        <v>45190</v>
      </c>
      <c r="G3163" s="5">
        <v>54789</v>
      </c>
      <c r="H3163" s="4" t="str">
        <f>""</f>
        <v/>
      </c>
      <c r="I3163" s="4" t="str">
        <f>""</f>
        <v/>
      </c>
    </row>
    <row r="3164" spans="1:9" x14ac:dyDescent="0.3">
      <c r="A3164" s="1" t="str">
        <f>"83"</f>
        <v>83</v>
      </c>
      <c r="B3164" s="4" t="str">
        <f>"PURFER (DERICHEBOURG)"</f>
        <v>PURFER (DERICHEBOURG)</v>
      </c>
      <c r="C3164" s="4">
        <v>332628172</v>
      </c>
      <c r="D3164" s="3" t="s">
        <v>0</v>
      </c>
      <c r="E3164" s="2" t="str">
        <f>"PR8300008D"</f>
        <v>PR8300008D</v>
      </c>
      <c r="F3164" s="5">
        <v>38986</v>
      </c>
      <c r="G3164" s="5">
        <v>54789</v>
      </c>
      <c r="H3164" s="4" t="str">
        <f>""</f>
        <v/>
      </c>
      <c r="I3164" s="4" t="str">
        <f>""</f>
        <v/>
      </c>
    </row>
    <row r="3165" spans="1:9" x14ac:dyDescent="0.3">
      <c r="A3165" s="1" t="str">
        <f>"83"</f>
        <v>83</v>
      </c>
      <c r="B3165" s="4" t="str">
        <f>"PURFER (DERICHEBOURG)"</f>
        <v>PURFER (DERICHEBOURG)</v>
      </c>
      <c r="C3165" s="4">
        <v>332628172</v>
      </c>
      <c r="D3165" s="3" t="s">
        <v>0</v>
      </c>
      <c r="E3165" s="2" t="str">
        <f>"0006402082"</f>
        <v>0006402082</v>
      </c>
      <c r="F3165" s="5">
        <v>38986</v>
      </c>
      <c r="G3165" s="5">
        <v>54789</v>
      </c>
      <c r="H3165" s="4" t="str">
        <f>""</f>
        <v/>
      </c>
      <c r="I3165" s="4" t="str">
        <f>""</f>
        <v/>
      </c>
    </row>
    <row r="3166" spans="1:9" x14ac:dyDescent="0.3">
      <c r="A3166" s="1" t="str">
        <f>"83"</f>
        <v>83</v>
      </c>
      <c r="B3166" s="4" t="str">
        <f>"SO FO VAR (groupe SCLAVO)"</f>
        <v>SO FO VAR (groupe SCLAVO)</v>
      </c>
      <c r="C3166" s="4">
        <v>348040726</v>
      </c>
      <c r="D3166" s="3" t="s">
        <v>0</v>
      </c>
      <c r="E3166" s="2" t="str">
        <f>"PR8300005D"</f>
        <v>PR8300005D</v>
      </c>
      <c r="F3166" s="5">
        <v>38980</v>
      </c>
      <c r="G3166" s="5">
        <v>54789</v>
      </c>
      <c r="H3166" s="4" t="str">
        <f>""</f>
        <v/>
      </c>
      <c r="I3166" s="4" t="str">
        <f>""</f>
        <v/>
      </c>
    </row>
    <row r="3167" spans="1:9" x14ac:dyDescent="0.3">
      <c r="A3167" s="1" t="str">
        <f>"83"</f>
        <v>83</v>
      </c>
      <c r="B3167" s="4" t="str">
        <f>"SO FO VAR (groupe SCLAVO)"</f>
        <v>SO FO VAR (groupe SCLAVO)</v>
      </c>
      <c r="C3167" s="4">
        <v>348040726</v>
      </c>
      <c r="D3167" s="3" t="s">
        <v>0</v>
      </c>
      <c r="E3167" s="2" t="str">
        <f>"0006413536"</f>
        <v>0006413536</v>
      </c>
      <c r="F3167" s="5">
        <v>38980</v>
      </c>
      <c r="G3167" s="5">
        <v>54789</v>
      </c>
      <c r="H3167" s="4" t="str">
        <f>""</f>
        <v/>
      </c>
      <c r="I3167" s="4" t="str">
        <f>""</f>
        <v/>
      </c>
    </row>
    <row r="3168" spans="1:9" x14ac:dyDescent="0.3">
      <c r="A3168" s="1" t="str">
        <f>"83"</f>
        <v>83</v>
      </c>
      <c r="B3168" s="4" t="str">
        <f>"SARL GENERAL AUTO"</f>
        <v>SARL GENERAL AUTO</v>
      </c>
      <c r="C3168" s="4">
        <v>353260045</v>
      </c>
      <c r="D3168" s="3" t="s">
        <v>0</v>
      </c>
      <c r="E3168" s="2" t="str">
        <f>"PR8300014D"</f>
        <v>PR8300014D</v>
      </c>
      <c r="F3168" s="5">
        <v>39006</v>
      </c>
      <c r="G3168" s="5">
        <v>54789</v>
      </c>
      <c r="H3168" s="4" t="str">
        <f>""</f>
        <v/>
      </c>
      <c r="I3168" s="4" t="str">
        <f>""</f>
        <v/>
      </c>
    </row>
    <row r="3169" spans="1:9" x14ac:dyDescent="0.3">
      <c r="A3169" s="1" t="str">
        <f>"83"</f>
        <v>83</v>
      </c>
      <c r="B3169" s="4" t="str">
        <f>"SARL GENERAL AUTO"</f>
        <v>SARL GENERAL AUTO</v>
      </c>
      <c r="C3169" s="4">
        <v>353260045</v>
      </c>
      <c r="D3169" s="3" t="s">
        <v>0</v>
      </c>
      <c r="E3169" s="2" t="str">
        <f>"0006401855"</f>
        <v>0006401855</v>
      </c>
      <c r="F3169" s="5">
        <v>39006</v>
      </c>
      <c r="G3169" s="5">
        <v>54789</v>
      </c>
      <c r="H3169" s="4" t="str">
        <f>""</f>
        <v/>
      </c>
      <c r="I3169" s="4" t="str">
        <f>""</f>
        <v/>
      </c>
    </row>
    <row r="3170" spans="1:9" x14ac:dyDescent="0.3">
      <c r="A3170" s="1" t="str">
        <f>"83"</f>
        <v>83</v>
      </c>
      <c r="B3170" s="4" t="str">
        <f>"CODIPIECE"</f>
        <v>CODIPIECE</v>
      </c>
      <c r="C3170" s="4">
        <v>390482206</v>
      </c>
      <c r="D3170" s="3" t="s">
        <v>0</v>
      </c>
      <c r="E3170" s="2" t="str">
        <f>"PR8300002D"</f>
        <v>PR8300002D</v>
      </c>
      <c r="F3170" s="5">
        <v>39006</v>
      </c>
      <c r="G3170" s="5">
        <v>54789</v>
      </c>
      <c r="H3170" s="4" t="str">
        <f>""</f>
        <v/>
      </c>
      <c r="I3170" s="4" t="str">
        <f>""</f>
        <v/>
      </c>
    </row>
    <row r="3171" spans="1:9" x14ac:dyDescent="0.3">
      <c r="A3171" s="1" t="str">
        <f>"83"</f>
        <v>83</v>
      </c>
      <c r="B3171" s="4" t="str">
        <f>"CODIPIECE"</f>
        <v>CODIPIECE</v>
      </c>
      <c r="C3171" s="4">
        <v>390482206</v>
      </c>
      <c r="D3171" s="3" t="s">
        <v>0</v>
      </c>
      <c r="E3171" s="2" t="str">
        <f>"0006401852"</f>
        <v>0006401852</v>
      </c>
      <c r="F3171" s="5">
        <v>39006</v>
      </c>
      <c r="G3171" s="5">
        <v>54789</v>
      </c>
      <c r="H3171" s="4" t="str">
        <f>""</f>
        <v/>
      </c>
      <c r="I3171" s="4" t="str">
        <f>""</f>
        <v/>
      </c>
    </row>
    <row r="3172" spans="1:9" x14ac:dyDescent="0.3">
      <c r="A3172" s="1" t="str">
        <f>"83"</f>
        <v>83</v>
      </c>
      <c r="B3172" s="4" t="str">
        <f>"SARL AB RECYCLAGE (ex Brignoles Casse)"</f>
        <v>SARL AB RECYCLAGE (ex Brignoles Casse)</v>
      </c>
      <c r="C3172" s="4">
        <v>401592027</v>
      </c>
      <c r="D3172" s="3" t="s">
        <v>0</v>
      </c>
      <c r="E3172" s="2" t="str">
        <f>"PR8300017D"</f>
        <v>PR8300017D</v>
      </c>
      <c r="F3172" s="5">
        <v>39696</v>
      </c>
      <c r="G3172" s="5">
        <v>54789</v>
      </c>
      <c r="H3172" s="4" t="str">
        <f>""</f>
        <v/>
      </c>
      <c r="I3172" s="4" t="str">
        <f>""</f>
        <v/>
      </c>
    </row>
    <row r="3173" spans="1:9" x14ac:dyDescent="0.3">
      <c r="A3173" s="1" t="str">
        <f>"83"</f>
        <v>83</v>
      </c>
      <c r="B3173" s="4" t="str">
        <f>"SARL AB RECYCLAGE (ex Brignoles Casse)"</f>
        <v>SARL AB RECYCLAGE (ex Brignoles Casse)</v>
      </c>
      <c r="C3173" s="4">
        <v>401592027</v>
      </c>
      <c r="D3173" s="3" t="s">
        <v>0</v>
      </c>
      <c r="E3173" s="2" t="str">
        <f>"0006410972"</f>
        <v>0006410972</v>
      </c>
      <c r="F3173" s="5">
        <v>39696</v>
      </c>
      <c r="G3173" s="5">
        <v>54789</v>
      </c>
      <c r="H3173" s="4" t="str">
        <f>""</f>
        <v/>
      </c>
      <c r="I3173" s="4" t="str">
        <f>""</f>
        <v/>
      </c>
    </row>
    <row r="3174" spans="1:9" x14ac:dyDescent="0.3">
      <c r="A3174" s="1" t="str">
        <f>"83"</f>
        <v>83</v>
      </c>
      <c r="B3174" s="4" t="str">
        <f>"SARL MICHELOT"</f>
        <v>SARL MICHELOT</v>
      </c>
      <c r="C3174" s="4">
        <v>419577101</v>
      </c>
      <c r="D3174" s="3" t="s">
        <v>0</v>
      </c>
      <c r="E3174" s="2" t="str">
        <f>"PR8300018D"</f>
        <v>PR8300018D</v>
      </c>
      <c r="F3174" s="5">
        <v>40001</v>
      </c>
      <c r="G3174" s="5">
        <v>54789</v>
      </c>
      <c r="H3174" s="4" t="str">
        <f>""</f>
        <v/>
      </c>
      <c r="I3174" s="4" t="str">
        <f>""</f>
        <v/>
      </c>
    </row>
    <row r="3175" spans="1:9" x14ac:dyDescent="0.3">
      <c r="A3175" s="1" t="str">
        <f>"83"</f>
        <v>83</v>
      </c>
      <c r="B3175" s="4" t="str">
        <f>"SARL MICHELOT"</f>
        <v>SARL MICHELOT</v>
      </c>
      <c r="C3175" s="4">
        <v>419577101</v>
      </c>
      <c r="D3175" s="3" t="s">
        <v>0</v>
      </c>
      <c r="E3175" s="2" t="str">
        <f>"0006407118"</f>
        <v>0006407118</v>
      </c>
      <c r="F3175" s="5">
        <v>40001</v>
      </c>
      <c r="G3175" s="5">
        <v>54789</v>
      </c>
      <c r="H3175" s="4" t="str">
        <f>""</f>
        <v/>
      </c>
      <c r="I3175" s="4" t="str">
        <f>""</f>
        <v/>
      </c>
    </row>
    <row r="3176" spans="1:9" x14ac:dyDescent="0.3">
      <c r="A3176" s="1" t="str">
        <f>"83"</f>
        <v>83</v>
      </c>
      <c r="B3176" s="4" t="str">
        <f>"SARL RECUPERAUTO"</f>
        <v>SARL RECUPERAUTO</v>
      </c>
      <c r="C3176" s="4">
        <v>421440371</v>
      </c>
      <c r="D3176" s="3" t="s">
        <v>0</v>
      </c>
      <c r="E3176" s="2" t="str">
        <f>"PR8300003D"</f>
        <v>PR8300003D</v>
      </c>
      <c r="F3176" s="5">
        <v>38910</v>
      </c>
      <c r="G3176" s="5">
        <v>54789</v>
      </c>
      <c r="H3176" s="4" t="str">
        <f>""</f>
        <v/>
      </c>
      <c r="I3176" s="4" t="str">
        <f>""</f>
        <v/>
      </c>
    </row>
    <row r="3177" spans="1:9" x14ac:dyDescent="0.3">
      <c r="A3177" s="1" t="str">
        <f>"83"</f>
        <v>83</v>
      </c>
      <c r="B3177" s="4" t="str">
        <f>"SARL RECUPERAUTO"</f>
        <v>SARL RECUPERAUTO</v>
      </c>
      <c r="C3177" s="4">
        <v>421440371</v>
      </c>
      <c r="D3177" s="3" t="s">
        <v>0</v>
      </c>
      <c r="E3177" s="2" t="str">
        <f>"0006402249"</f>
        <v>0006402249</v>
      </c>
      <c r="F3177" s="5">
        <v>38910</v>
      </c>
      <c r="G3177" s="5">
        <v>54789</v>
      </c>
      <c r="H3177" s="4" t="str">
        <f>""</f>
        <v/>
      </c>
      <c r="I3177" s="4" t="str">
        <f>""</f>
        <v/>
      </c>
    </row>
    <row r="3178" spans="1:9" x14ac:dyDescent="0.3">
      <c r="A3178" s="1" t="str">
        <f>"83"</f>
        <v>83</v>
      </c>
      <c r="B3178" s="4" t="str">
        <f>"Société France Récupération Recyclage"</f>
        <v>Société France Récupération Recyclage</v>
      </c>
      <c r="C3178" s="4">
        <v>424707651</v>
      </c>
      <c r="D3178" s="3" t="s">
        <v>0</v>
      </c>
      <c r="E3178" s="2" t="str">
        <f>"PR8300010D"</f>
        <v>PR8300010D</v>
      </c>
      <c r="F3178" s="5">
        <v>38992</v>
      </c>
      <c r="G3178" s="5">
        <v>54789</v>
      </c>
      <c r="H3178" s="4" t="str">
        <f>""</f>
        <v/>
      </c>
      <c r="I3178" s="4" t="str">
        <f>""</f>
        <v/>
      </c>
    </row>
    <row r="3179" spans="1:9" x14ac:dyDescent="0.3">
      <c r="A3179" s="1" t="str">
        <f>"83"</f>
        <v>83</v>
      </c>
      <c r="B3179" s="4" t="str">
        <f>"Société France Récupération Recyclage"</f>
        <v>Société France Récupération Recyclage</v>
      </c>
      <c r="C3179" s="4">
        <v>424707651</v>
      </c>
      <c r="D3179" s="3" t="s">
        <v>0</v>
      </c>
      <c r="E3179" s="2" t="str">
        <f>"0006400164"</f>
        <v>0006400164</v>
      </c>
      <c r="F3179" s="5">
        <v>38992</v>
      </c>
      <c r="G3179" s="5">
        <v>54789</v>
      </c>
      <c r="H3179" s="4" t="str">
        <f>""</f>
        <v/>
      </c>
      <c r="I3179" s="4" t="str">
        <f>""</f>
        <v/>
      </c>
    </row>
    <row r="3180" spans="1:9" x14ac:dyDescent="0.3">
      <c r="A3180" s="1" t="str">
        <f>"83"</f>
        <v>83</v>
      </c>
      <c r="B3180" s="4" t="str">
        <f>"Société ADMS"</f>
        <v>Société ADMS</v>
      </c>
      <c r="C3180" s="4">
        <v>438213811</v>
      </c>
      <c r="D3180" s="3" t="s">
        <v>0</v>
      </c>
      <c r="E3180" s="2" t="str">
        <f>"PR8300028D"</f>
        <v>PR8300028D</v>
      </c>
      <c r="F3180" s="5">
        <v>43048</v>
      </c>
      <c r="G3180" s="5">
        <v>54789</v>
      </c>
      <c r="H3180" s="4" t="str">
        <f>""</f>
        <v/>
      </c>
      <c r="I3180" s="4" t="str">
        <f>""</f>
        <v/>
      </c>
    </row>
    <row r="3181" spans="1:9" x14ac:dyDescent="0.3">
      <c r="A3181" s="1" t="str">
        <f>"83"</f>
        <v>83</v>
      </c>
      <c r="B3181" s="4" t="str">
        <f>"Société ADMS"</f>
        <v>Société ADMS</v>
      </c>
      <c r="C3181" s="4">
        <v>438213811</v>
      </c>
      <c r="D3181" s="3" t="s">
        <v>0</v>
      </c>
      <c r="E3181" s="2" t="str">
        <f>"0006412370"</f>
        <v>0006412370</v>
      </c>
      <c r="F3181" s="5">
        <v>43048</v>
      </c>
      <c r="G3181" s="5">
        <v>54789</v>
      </c>
      <c r="H3181" s="4" t="str">
        <f>""</f>
        <v/>
      </c>
      <c r="I3181" s="4" t="str">
        <f>""</f>
        <v/>
      </c>
    </row>
    <row r="3182" spans="1:9" x14ac:dyDescent="0.3">
      <c r="A3182" s="1" t="str">
        <f>"83"</f>
        <v>83</v>
      </c>
      <c r="B3182" s="4" t="str">
        <f>"MCP CARS SERVICES"</f>
        <v>MCP CARS SERVICES</v>
      </c>
      <c r="C3182" s="4">
        <v>489050344</v>
      </c>
      <c r="D3182" s="3" t="s">
        <v>0</v>
      </c>
      <c r="E3182" s="2" t="str">
        <f>"PR8300026D"</f>
        <v>PR8300026D</v>
      </c>
      <c r="F3182" s="5">
        <v>42717</v>
      </c>
      <c r="G3182" s="5">
        <v>54789</v>
      </c>
      <c r="H3182" s="4" t="str">
        <f>""</f>
        <v/>
      </c>
      <c r="I3182" s="4" t="str">
        <f>""</f>
        <v/>
      </c>
    </row>
    <row r="3183" spans="1:9" x14ac:dyDescent="0.3">
      <c r="A3183" s="1" t="str">
        <f>"83"</f>
        <v>83</v>
      </c>
      <c r="B3183" s="4" t="str">
        <f>"MCP CARS SERVICES"</f>
        <v>MCP CARS SERVICES</v>
      </c>
      <c r="C3183" s="4">
        <v>489050344</v>
      </c>
      <c r="D3183" s="3" t="s">
        <v>0</v>
      </c>
      <c r="E3183" s="2" t="str">
        <f>"0006412596"</f>
        <v>0006412596</v>
      </c>
      <c r="F3183" s="5">
        <v>42717</v>
      </c>
      <c r="G3183" s="5">
        <v>54789</v>
      </c>
      <c r="H3183" s="4" t="str">
        <f>""</f>
        <v/>
      </c>
      <c r="I3183" s="4" t="str">
        <f>""</f>
        <v/>
      </c>
    </row>
    <row r="3184" spans="1:9" x14ac:dyDescent="0.3">
      <c r="A3184" s="1" t="str">
        <f>"83"</f>
        <v>83</v>
      </c>
      <c r="B3184" s="4" t="str">
        <f>"SARL CG AUTO DEMOLITION"</f>
        <v>SARL CG AUTO DEMOLITION</v>
      </c>
      <c r="C3184" s="4">
        <v>517894648</v>
      </c>
      <c r="D3184" s="3" t="s">
        <v>0</v>
      </c>
      <c r="E3184" s="2" t="str">
        <f>"PR8300023D"</f>
        <v>PR8300023D</v>
      </c>
      <c r="F3184" s="5">
        <v>41613</v>
      </c>
      <c r="G3184" s="5">
        <v>54789</v>
      </c>
      <c r="H3184" s="4" t="str">
        <f>""</f>
        <v/>
      </c>
      <c r="I3184" s="4" t="str">
        <f>""</f>
        <v/>
      </c>
    </row>
    <row r="3185" spans="1:9" x14ac:dyDescent="0.3">
      <c r="A3185" s="1" t="str">
        <f>"83"</f>
        <v>83</v>
      </c>
      <c r="B3185" s="4" t="str">
        <f>"SARL CG AUTO DEMOLITION"</f>
        <v>SARL CG AUTO DEMOLITION</v>
      </c>
      <c r="C3185" s="4">
        <v>517894648</v>
      </c>
      <c r="D3185" s="3" t="s">
        <v>0</v>
      </c>
      <c r="E3185" s="2" t="str">
        <f>"0006405474"</f>
        <v>0006405474</v>
      </c>
      <c r="F3185" s="5">
        <v>41613</v>
      </c>
      <c r="G3185" s="5">
        <v>54789</v>
      </c>
      <c r="H3185" s="4" t="str">
        <f>""</f>
        <v/>
      </c>
      <c r="I3185" s="4" t="str">
        <f>""</f>
        <v/>
      </c>
    </row>
    <row r="3186" spans="1:9" x14ac:dyDescent="0.3">
      <c r="A3186" s="1" t="str">
        <f>"83"</f>
        <v>83</v>
      </c>
      <c r="B3186" s="4" t="str">
        <f>"SARL MJS Récupération Environnement"</f>
        <v>SARL MJS Récupération Environnement</v>
      </c>
      <c r="C3186" s="4">
        <v>530505528</v>
      </c>
      <c r="D3186" s="3" t="s">
        <v>0</v>
      </c>
      <c r="E3186" s="2" t="str">
        <f>"PR8300020D"</f>
        <v>PR8300020D</v>
      </c>
      <c r="F3186" s="5">
        <v>41480</v>
      </c>
      <c r="G3186" s="5">
        <v>54789</v>
      </c>
      <c r="H3186" s="4" t="str">
        <f>""</f>
        <v/>
      </c>
      <c r="I3186" s="4" t="str">
        <f>""</f>
        <v/>
      </c>
    </row>
    <row r="3187" spans="1:9" x14ac:dyDescent="0.3">
      <c r="A3187" s="1" t="str">
        <f>"83"</f>
        <v>83</v>
      </c>
      <c r="B3187" s="4" t="str">
        <f>"SARL MJS Récupération Environnement"</f>
        <v>SARL MJS Récupération Environnement</v>
      </c>
      <c r="C3187" s="4">
        <v>530505528</v>
      </c>
      <c r="D3187" s="3" t="s">
        <v>0</v>
      </c>
      <c r="E3187" s="2" t="str">
        <f>"0006402200"</f>
        <v>0006402200</v>
      </c>
      <c r="F3187" s="5">
        <v>41480</v>
      </c>
      <c r="G3187" s="5">
        <v>54789</v>
      </c>
      <c r="H3187" s="4" t="str">
        <f>""</f>
        <v/>
      </c>
      <c r="I3187" s="4" t="str">
        <f>""</f>
        <v/>
      </c>
    </row>
    <row r="3188" spans="1:9" x14ac:dyDescent="0.3">
      <c r="A3188" s="1" t="str">
        <f>"83"</f>
        <v>83</v>
      </c>
      <c r="B3188" s="4" t="str">
        <f>"EURL LE NETTOYEUR"</f>
        <v>EURL LE NETTOYEUR</v>
      </c>
      <c r="C3188" s="4">
        <v>539864314</v>
      </c>
      <c r="D3188" s="3" t="s">
        <v>0</v>
      </c>
      <c r="E3188" s="2" t="str">
        <f>"PR8300021D"</f>
        <v>PR8300021D</v>
      </c>
      <c r="F3188" s="5">
        <v>41613</v>
      </c>
      <c r="G3188" s="5">
        <v>54789</v>
      </c>
      <c r="H3188" s="4" t="str">
        <f>""</f>
        <v/>
      </c>
      <c r="I3188" s="4" t="str">
        <f>""</f>
        <v/>
      </c>
    </row>
    <row r="3189" spans="1:9" x14ac:dyDescent="0.3">
      <c r="A3189" s="1" t="str">
        <f>"83"</f>
        <v>83</v>
      </c>
      <c r="B3189" s="4" t="str">
        <f>"EURL LE NETTOYEUR"</f>
        <v>EURL LE NETTOYEUR</v>
      </c>
      <c r="C3189" s="4">
        <v>539864314</v>
      </c>
      <c r="D3189" s="3" t="s">
        <v>0</v>
      </c>
      <c r="E3189" s="2" t="str">
        <f>"0006410828"</f>
        <v>0006410828</v>
      </c>
      <c r="F3189" s="5">
        <v>41613</v>
      </c>
      <c r="G3189" s="5">
        <v>54789</v>
      </c>
      <c r="H3189" s="4" t="str">
        <f>""</f>
        <v/>
      </c>
      <c r="I3189" s="4" t="str">
        <f>""</f>
        <v/>
      </c>
    </row>
    <row r="3190" spans="1:9" x14ac:dyDescent="0.3">
      <c r="A3190" s="1" t="str">
        <f>"83"</f>
        <v>83</v>
      </c>
      <c r="B3190" s="4" t="str">
        <f>"SAS METALFER"</f>
        <v>SAS METALFER</v>
      </c>
      <c r="C3190" s="4">
        <v>801047929</v>
      </c>
      <c r="D3190" s="3" t="s">
        <v>0</v>
      </c>
      <c r="E3190" s="2" t="str">
        <f>"PR8300022D"</f>
        <v>PR8300022D</v>
      </c>
      <c r="F3190" s="5">
        <v>41752</v>
      </c>
      <c r="G3190" s="5">
        <v>54789</v>
      </c>
      <c r="H3190" s="4" t="str">
        <f>""</f>
        <v/>
      </c>
      <c r="I3190" s="4" t="str">
        <f>""</f>
        <v/>
      </c>
    </row>
    <row r="3191" spans="1:9" x14ac:dyDescent="0.3">
      <c r="A3191" s="1" t="str">
        <f>"83"</f>
        <v>83</v>
      </c>
      <c r="B3191" s="4" t="str">
        <f>"SAS METALFER"</f>
        <v>SAS METALFER</v>
      </c>
      <c r="C3191" s="4">
        <v>801047929</v>
      </c>
      <c r="D3191" s="3" t="s">
        <v>0</v>
      </c>
      <c r="E3191" s="2" t="str">
        <f>"0006407635"</f>
        <v>0006407635</v>
      </c>
      <c r="F3191" s="5">
        <v>41752</v>
      </c>
      <c r="G3191" s="5">
        <v>54789</v>
      </c>
      <c r="H3191" s="4" t="str">
        <f>""</f>
        <v/>
      </c>
      <c r="I3191" s="4" t="str">
        <f>""</f>
        <v/>
      </c>
    </row>
    <row r="3192" spans="1:9" x14ac:dyDescent="0.3">
      <c r="A3192" s="1" t="str">
        <f>"83"</f>
        <v>83</v>
      </c>
      <c r="B3192" s="4" t="str">
        <f>"CASSE AUTO 83"</f>
        <v>CASSE AUTO 83</v>
      </c>
      <c r="C3192" s="4">
        <v>851830794</v>
      </c>
      <c r="D3192" s="3" t="s">
        <v>0</v>
      </c>
      <c r="E3192" s="2" t="str">
        <f>"PR8300029D"</f>
        <v>PR8300029D</v>
      </c>
      <c r="F3192" s="5">
        <v>45019</v>
      </c>
      <c r="G3192" s="5">
        <v>54789</v>
      </c>
      <c r="H3192" s="4" t="str">
        <f>""</f>
        <v/>
      </c>
      <c r="I3192" s="4" t="str">
        <f>""</f>
        <v/>
      </c>
    </row>
    <row r="3193" spans="1:9" x14ac:dyDescent="0.3">
      <c r="A3193" s="1" t="str">
        <f>"83"</f>
        <v>83</v>
      </c>
      <c r="B3193" s="4" t="str">
        <f>"CASSE AUTO 83"</f>
        <v>CASSE AUTO 83</v>
      </c>
      <c r="C3193" s="4">
        <v>851830794</v>
      </c>
      <c r="D3193" s="3" t="s">
        <v>0</v>
      </c>
      <c r="E3193" s="2" t="str">
        <f>"0006414058"</f>
        <v>0006414058</v>
      </c>
      <c r="F3193" s="5">
        <v>45019</v>
      </c>
      <c r="G3193" s="5">
        <v>54789</v>
      </c>
      <c r="H3193" s="4" t="str">
        <f>""</f>
        <v/>
      </c>
      <c r="I3193" s="4" t="str">
        <f>""</f>
        <v/>
      </c>
    </row>
    <row r="3194" spans="1:9" x14ac:dyDescent="0.3">
      <c r="A3194" s="1" t="str">
        <f>"83"</f>
        <v>83</v>
      </c>
      <c r="B3194" s="4" t="str">
        <f>"SARL POINT NOIR AUTO"</f>
        <v>SARL POINT NOIR AUTO</v>
      </c>
      <c r="C3194" s="4">
        <v>918766544</v>
      </c>
      <c r="D3194" s="3" t="s">
        <v>0</v>
      </c>
      <c r="E3194" s="2" t="str">
        <f>"PR8300004D"</f>
        <v>PR8300004D</v>
      </c>
      <c r="F3194" s="5">
        <v>45061</v>
      </c>
      <c r="G3194" s="5">
        <v>54789</v>
      </c>
      <c r="H3194" s="4" t="str">
        <f>""</f>
        <v/>
      </c>
      <c r="I3194" s="4" t="str">
        <f>""</f>
        <v/>
      </c>
    </row>
    <row r="3195" spans="1:9" x14ac:dyDescent="0.3">
      <c r="A3195" s="1" t="str">
        <f>"83"</f>
        <v>83</v>
      </c>
      <c r="B3195" s="4" t="str">
        <f>"SARL POINT NOIR AUTO"</f>
        <v>SARL POINT NOIR AUTO</v>
      </c>
      <c r="C3195" s="4">
        <v>918766544</v>
      </c>
      <c r="D3195" s="3" t="s">
        <v>0</v>
      </c>
      <c r="E3195" s="2" t="str">
        <f>"0006400096"</f>
        <v>0006400096</v>
      </c>
      <c r="F3195" s="5">
        <v>45061</v>
      </c>
      <c r="G3195" s="5">
        <v>54789</v>
      </c>
      <c r="H3195" s="4" t="str">
        <f>""</f>
        <v/>
      </c>
      <c r="I3195" s="4" t="str">
        <f>""</f>
        <v/>
      </c>
    </row>
    <row r="3196" spans="1:9" x14ac:dyDescent="0.3">
      <c r="A3196" s="1" t="str">
        <f>"83"</f>
        <v>83</v>
      </c>
      <c r="B3196" s="4" t="str">
        <f>"SARL MARINA CASSE AUTO Bis"</f>
        <v>SARL MARINA CASSE AUTO Bis</v>
      </c>
      <c r="C3196" s="4">
        <v>980868665</v>
      </c>
      <c r="D3196" s="3" t="s">
        <v>0</v>
      </c>
      <c r="E3196" s="2" t="str">
        <f>"PR8300031D"</f>
        <v>PR8300031D</v>
      </c>
      <c r="F3196" s="5">
        <v>45453</v>
      </c>
      <c r="G3196" s="5">
        <v>54789</v>
      </c>
      <c r="H3196" s="4" t="str">
        <f>""</f>
        <v/>
      </c>
      <c r="I3196" s="4" t="str">
        <f>""</f>
        <v/>
      </c>
    </row>
    <row r="3197" spans="1:9" x14ac:dyDescent="0.3">
      <c r="A3197" s="1" t="str">
        <f>"83"</f>
        <v>83</v>
      </c>
      <c r="B3197" s="4" t="str">
        <f>"SARL MARINA CASSE AUTO Bis"</f>
        <v>SARL MARINA CASSE AUTO Bis</v>
      </c>
      <c r="C3197" s="4">
        <v>980868665</v>
      </c>
      <c r="D3197" s="3" t="s">
        <v>0</v>
      </c>
      <c r="E3197" s="2" t="str">
        <f>"0006406590"</f>
        <v>0006406590</v>
      </c>
      <c r="F3197" s="5">
        <v>45453</v>
      </c>
      <c r="G3197" s="5">
        <v>54789</v>
      </c>
      <c r="H3197" s="4" t="str">
        <f>""</f>
        <v/>
      </c>
      <c r="I3197" s="4" t="str">
        <f>""</f>
        <v/>
      </c>
    </row>
    <row r="3198" spans="1:9" x14ac:dyDescent="0.3">
      <c r="A3198" s="1" t="str">
        <f>"84"</f>
        <v>84</v>
      </c>
      <c r="B3198" s="4" t="str">
        <f>"RENAULT TRUCKS MARSEILLE"</f>
        <v>RENAULT TRUCKS MARSEILLE</v>
      </c>
      <c r="C3198" s="4">
        <v>302472501</v>
      </c>
      <c r="D3198" s="3" t="s">
        <v>0</v>
      </c>
      <c r="E3198" s="2" t="str">
        <f>"PR8400025D"</f>
        <v>PR8400025D</v>
      </c>
      <c r="F3198" s="5">
        <v>43651</v>
      </c>
      <c r="G3198" s="5">
        <v>54789</v>
      </c>
      <c r="H3198" s="4" t="str">
        <f>""</f>
        <v/>
      </c>
      <c r="I3198" s="4" t="str">
        <f>""</f>
        <v/>
      </c>
    </row>
    <row r="3199" spans="1:9" x14ac:dyDescent="0.3">
      <c r="A3199" s="1" t="str">
        <f>"84"</f>
        <v>84</v>
      </c>
      <c r="B3199" s="4" t="str">
        <f>"RENAULT TRUCKS MARSEILLE"</f>
        <v>RENAULT TRUCKS MARSEILLE</v>
      </c>
      <c r="C3199" s="4">
        <v>302472501</v>
      </c>
      <c r="D3199" s="3" t="s">
        <v>0</v>
      </c>
      <c r="E3199" s="2" t="str">
        <f>"0006413479"</f>
        <v>0006413479</v>
      </c>
      <c r="F3199" s="5">
        <v>43651</v>
      </c>
      <c r="G3199" s="5">
        <v>54789</v>
      </c>
      <c r="H3199" s="4" t="str">
        <f>""</f>
        <v/>
      </c>
      <c r="I3199" s="4" t="str">
        <f>""</f>
        <v/>
      </c>
    </row>
    <row r="3200" spans="1:9" x14ac:dyDescent="0.3">
      <c r="A3200" s="1" t="str">
        <f>"84"</f>
        <v>84</v>
      </c>
      <c r="B3200" s="4" t="str">
        <f>"AUTO-MOTO-CENTER"</f>
        <v>AUTO-MOTO-CENTER</v>
      </c>
      <c r="C3200" s="4">
        <v>320463334</v>
      </c>
      <c r="D3200" s="3" t="s">
        <v>0</v>
      </c>
      <c r="E3200" s="2" t="str">
        <f>"PR8400001D"</f>
        <v>PR8400001D</v>
      </c>
      <c r="F3200" s="5">
        <v>38861</v>
      </c>
      <c r="G3200" s="5">
        <v>54789</v>
      </c>
      <c r="H3200" s="4" t="str">
        <f>""</f>
        <v/>
      </c>
      <c r="I3200" s="4" t="str">
        <f>""</f>
        <v/>
      </c>
    </row>
    <row r="3201" spans="1:9" x14ac:dyDescent="0.3">
      <c r="A3201" s="1" t="str">
        <f>"84"</f>
        <v>84</v>
      </c>
      <c r="B3201" s="4" t="str">
        <f>"AUTO-MOTO-CENTER"</f>
        <v>AUTO-MOTO-CENTER</v>
      </c>
      <c r="C3201" s="4">
        <v>320463334</v>
      </c>
      <c r="D3201" s="3" t="s">
        <v>0</v>
      </c>
      <c r="E3201" s="2" t="str">
        <f>"0006400374"</f>
        <v>0006400374</v>
      </c>
      <c r="F3201" s="5">
        <v>38861</v>
      </c>
      <c r="G3201" s="5">
        <v>54789</v>
      </c>
      <c r="H3201" s="4" t="str">
        <f>""</f>
        <v/>
      </c>
      <c r="I3201" s="4" t="str">
        <f>""</f>
        <v/>
      </c>
    </row>
    <row r="3202" spans="1:9" x14ac:dyDescent="0.3">
      <c r="A3202" s="1" t="str">
        <f>"84"</f>
        <v>84</v>
      </c>
      <c r="B3202" s="4" t="str">
        <f>"FERT RECYCLAGE RE/FERT"</f>
        <v>FERT RECYCLAGE RE/FERT</v>
      </c>
      <c r="C3202" s="4">
        <v>329702260</v>
      </c>
      <c r="D3202" s="3" t="s">
        <v>0</v>
      </c>
      <c r="E3202" s="2" t="str">
        <f>"PR8400006D"</f>
        <v>PR8400006D</v>
      </c>
      <c r="F3202" s="5">
        <v>38880</v>
      </c>
      <c r="G3202" s="5">
        <v>54789</v>
      </c>
      <c r="H3202" s="4" t="str">
        <f>""</f>
        <v/>
      </c>
      <c r="I3202" s="4" t="str">
        <f>""</f>
        <v/>
      </c>
    </row>
    <row r="3203" spans="1:9" x14ac:dyDescent="0.3">
      <c r="A3203" s="1" t="str">
        <f>"84"</f>
        <v>84</v>
      </c>
      <c r="B3203" s="4" t="str">
        <f>"FERT RECYCLAGE RE/FERT"</f>
        <v>FERT RECYCLAGE RE/FERT</v>
      </c>
      <c r="C3203" s="4">
        <v>329702260</v>
      </c>
      <c r="D3203" s="3" t="s">
        <v>0</v>
      </c>
      <c r="E3203" s="2" t="str">
        <f>"0006400422"</f>
        <v>0006400422</v>
      </c>
      <c r="F3203" s="5">
        <v>38880</v>
      </c>
      <c r="G3203" s="5">
        <v>54789</v>
      </c>
      <c r="H3203" s="4" t="str">
        <f>""</f>
        <v/>
      </c>
      <c r="I3203" s="4" t="str">
        <f>""</f>
        <v/>
      </c>
    </row>
    <row r="3204" spans="1:9" x14ac:dyDescent="0.3">
      <c r="A3204" s="1" t="str">
        <f>"84"</f>
        <v>84</v>
      </c>
      <c r="B3204" s="4" t="str">
        <f>"FERT RECYCLAGE RE/FERT"</f>
        <v>FERT RECYCLAGE RE/FERT</v>
      </c>
      <c r="C3204" s="4">
        <v>329702260</v>
      </c>
      <c r="D3204" s="3" t="s">
        <v>0</v>
      </c>
      <c r="E3204" s="2" t="str">
        <f>"PR8400008D"</f>
        <v>PR8400008D</v>
      </c>
      <c r="F3204" s="5">
        <v>38884</v>
      </c>
      <c r="G3204" s="5">
        <v>54789</v>
      </c>
      <c r="H3204" s="4" t="str">
        <f>""</f>
        <v/>
      </c>
      <c r="I3204" s="4" t="str">
        <f>""</f>
        <v/>
      </c>
    </row>
    <row r="3205" spans="1:9" x14ac:dyDescent="0.3">
      <c r="A3205" s="1" t="str">
        <f>"84"</f>
        <v>84</v>
      </c>
      <c r="B3205" s="4" t="str">
        <f>"FERT RECYCLAGE RE/FERT"</f>
        <v>FERT RECYCLAGE RE/FERT</v>
      </c>
      <c r="C3205" s="4">
        <v>329702260</v>
      </c>
      <c r="D3205" s="3" t="s">
        <v>0</v>
      </c>
      <c r="E3205" s="2" t="str">
        <f>"0006400394"</f>
        <v>0006400394</v>
      </c>
      <c r="F3205" s="5">
        <v>38884</v>
      </c>
      <c r="G3205" s="5">
        <v>54789</v>
      </c>
      <c r="H3205" s="4" t="str">
        <f>""</f>
        <v/>
      </c>
      <c r="I3205" s="4" t="str">
        <f>""</f>
        <v/>
      </c>
    </row>
    <row r="3206" spans="1:9" x14ac:dyDescent="0.3">
      <c r="A3206" s="1" t="str">
        <f>"84"</f>
        <v>84</v>
      </c>
      <c r="B3206" s="4" t="str">
        <f>"FERT RECYCLAGE RE/FERT"</f>
        <v>FERT RECYCLAGE RE/FERT</v>
      </c>
      <c r="C3206" s="4">
        <v>329702260</v>
      </c>
      <c r="D3206" s="3" t="s">
        <v>0</v>
      </c>
      <c r="E3206" s="2" t="str">
        <f>"PR8400020D"</f>
        <v>PR8400020D</v>
      </c>
      <c r="F3206" s="5">
        <v>39799</v>
      </c>
      <c r="G3206" s="5">
        <v>54789</v>
      </c>
      <c r="H3206" s="4" t="str">
        <f>""</f>
        <v/>
      </c>
      <c r="I3206" s="4" t="str">
        <f>""</f>
        <v/>
      </c>
    </row>
    <row r="3207" spans="1:9" x14ac:dyDescent="0.3">
      <c r="A3207" s="1" t="str">
        <f>"84"</f>
        <v>84</v>
      </c>
      <c r="B3207" s="4" t="str">
        <f>"FERT RECYCLAGE RE/FERT"</f>
        <v>FERT RECYCLAGE RE/FERT</v>
      </c>
      <c r="C3207" s="4">
        <v>329702260</v>
      </c>
      <c r="D3207" s="3" t="s">
        <v>0</v>
      </c>
      <c r="E3207" s="2" t="str">
        <f>"0006400453"</f>
        <v>0006400453</v>
      </c>
      <c r="F3207" s="5">
        <v>39799</v>
      </c>
      <c r="G3207" s="5">
        <v>54789</v>
      </c>
      <c r="H3207" s="4" t="str">
        <f>""</f>
        <v/>
      </c>
      <c r="I3207" s="4" t="str">
        <f>""</f>
        <v/>
      </c>
    </row>
    <row r="3208" spans="1:9" x14ac:dyDescent="0.3">
      <c r="A3208" s="1" t="str">
        <f>"84"</f>
        <v>84</v>
      </c>
      <c r="B3208" s="4" t="str">
        <f>"FERT RECYCLAGE RE/FERT"</f>
        <v>FERT RECYCLAGE RE/FERT</v>
      </c>
      <c r="C3208" s="4">
        <v>329702260</v>
      </c>
      <c r="D3208" s="3" t="s">
        <v>0</v>
      </c>
      <c r="E3208" s="2" t="str">
        <f>"PR8400024D"</f>
        <v>PR8400024D</v>
      </c>
      <c r="F3208" s="5">
        <v>41204</v>
      </c>
      <c r="G3208" s="5">
        <v>54789</v>
      </c>
      <c r="H3208" s="4" t="str">
        <f>""</f>
        <v/>
      </c>
      <c r="I3208" s="4" t="str">
        <f>""</f>
        <v/>
      </c>
    </row>
    <row r="3209" spans="1:9" x14ac:dyDescent="0.3">
      <c r="A3209" s="1" t="str">
        <f>"84"</f>
        <v>84</v>
      </c>
      <c r="B3209" s="4" t="str">
        <f>"FERT RECYCLAGE RE/FERT"</f>
        <v>FERT RECYCLAGE RE/FERT</v>
      </c>
      <c r="C3209" s="4">
        <v>329702260</v>
      </c>
      <c r="D3209" s="3" t="s">
        <v>0</v>
      </c>
      <c r="E3209" s="2" t="str">
        <f>"0006400460"</f>
        <v>0006400460</v>
      </c>
      <c r="F3209" s="5">
        <v>41204</v>
      </c>
      <c r="G3209" s="5">
        <v>54789</v>
      </c>
      <c r="H3209" s="4" t="str">
        <f>""</f>
        <v/>
      </c>
      <c r="I3209" s="4" t="str">
        <f>""</f>
        <v/>
      </c>
    </row>
    <row r="3210" spans="1:9" x14ac:dyDescent="0.3">
      <c r="A3210" s="1" t="str">
        <f>"84"</f>
        <v>84</v>
      </c>
      <c r="B3210" s="4" t="str">
        <f>"PURFER"</f>
        <v>PURFER</v>
      </c>
      <c r="C3210" s="4">
        <v>332628171</v>
      </c>
      <c r="D3210" s="3" t="s">
        <v>0</v>
      </c>
      <c r="E3210" s="2" t="str">
        <f>"PR8400007D"</f>
        <v>PR8400007D</v>
      </c>
      <c r="F3210" s="5">
        <v>39093</v>
      </c>
      <c r="G3210" s="5">
        <v>54789</v>
      </c>
      <c r="H3210" s="4" t="str">
        <f>""</f>
        <v/>
      </c>
      <c r="I3210" s="4" t="str">
        <f>""</f>
        <v/>
      </c>
    </row>
    <row r="3211" spans="1:9" x14ac:dyDescent="0.3">
      <c r="A3211" s="1" t="str">
        <f>"84"</f>
        <v>84</v>
      </c>
      <c r="B3211" s="4" t="str">
        <f>"PURFER"</f>
        <v>PURFER</v>
      </c>
      <c r="C3211" s="4">
        <v>332628171</v>
      </c>
      <c r="D3211" s="3" t="s">
        <v>0</v>
      </c>
      <c r="E3211" s="2" t="str">
        <f>"0006400440"</f>
        <v>0006400440</v>
      </c>
      <c r="F3211" s="5">
        <v>39093</v>
      </c>
      <c r="G3211" s="5">
        <v>54789</v>
      </c>
      <c r="H3211" s="4" t="str">
        <f>""</f>
        <v/>
      </c>
      <c r="I3211" s="4" t="str">
        <f>""</f>
        <v/>
      </c>
    </row>
    <row r="3212" spans="1:9" x14ac:dyDescent="0.3">
      <c r="A3212" s="1" t="str">
        <f>"84"</f>
        <v>84</v>
      </c>
      <c r="B3212" s="4" t="str">
        <f>"AUTO SERVICE DISTRIBUTION"</f>
        <v>AUTO SERVICE DISTRIBUTION</v>
      </c>
      <c r="C3212" s="4">
        <v>333454338</v>
      </c>
      <c r="D3212" s="3" t="s">
        <v>0</v>
      </c>
      <c r="E3212" s="2" t="str">
        <f>"0006405117"</f>
        <v>0006405117</v>
      </c>
      <c r="F3212" s="5">
        <v>38861</v>
      </c>
      <c r="G3212" s="5">
        <v>54789</v>
      </c>
      <c r="H3212" s="4" t="str">
        <f>""</f>
        <v/>
      </c>
      <c r="I3212" s="4" t="str">
        <f>""</f>
        <v/>
      </c>
    </row>
    <row r="3213" spans="1:9" x14ac:dyDescent="0.3">
      <c r="A3213" s="1" t="str">
        <f>"84"</f>
        <v>84</v>
      </c>
      <c r="B3213" s="4" t="str">
        <f>"ROSSI"</f>
        <v>ROSSI</v>
      </c>
      <c r="C3213" s="4">
        <v>333454338</v>
      </c>
      <c r="D3213" s="3" t="s">
        <v>0</v>
      </c>
      <c r="E3213" s="2" t="str">
        <f>"PR8400010D"</f>
        <v>PR8400010D</v>
      </c>
      <c r="F3213" s="5">
        <v>38905</v>
      </c>
      <c r="G3213" s="5">
        <v>54789</v>
      </c>
      <c r="H3213" s="4" t="str">
        <f>""</f>
        <v/>
      </c>
      <c r="I3213" s="4" t="str">
        <f>""</f>
        <v/>
      </c>
    </row>
    <row r="3214" spans="1:9" x14ac:dyDescent="0.3">
      <c r="A3214" s="1" t="str">
        <f>"84"</f>
        <v>84</v>
      </c>
      <c r="B3214" s="4" t="str">
        <f>"ROSSI"</f>
        <v>ROSSI</v>
      </c>
      <c r="C3214" s="4">
        <v>333454338</v>
      </c>
      <c r="D3214" s="3" t="s">
        <v>0</v>
      </c>
      <c r="E3214" s="2" t="str">
        <f>"0006400546"</f>
        <v>0006400546</v>
      </c>
      <c r="F3214" s="5">
        <v>38905</v>
      </c>
      <c r="G3214" s="5">
        <v>54789</v>
      </c>
      <c r="H3214" s="4" t="str">
        <f>""</f>
        <v/>
      </c>
      <c r="I3214" s="4" t="str">
        <f>""</f>
        <v/>
      </c>
    </row>
    <row r="3215" spans="1:9" x14ac:dyDescent="0.3">
      <c r="A3215" s="1" t="str">
        <f>"84"</f>
        <v>84</v>
      </c>
      <c r="B3215" s="4" t="str">
        <f>"ROSSI"</f>
        <v>ROSSI</v>
      </c>
      <c r="C3215" s="4">
        <v>333454338</v>
      </c>
      <c r="D3215" s="3" t="s">
        <v>0</v>
      </c>
      <c r="E3215" s="2" t="str">
        <f>"PR8400001B"</f>
        <v>PR8400001B</v>
      </c>
      <c r="F3215" s="5">
        <v>39777</v>
      </c>
      <c r="G3215" s="5">
        <v>54789</v>
      </c>
      <c r="H3215" s="4" t="str">
        <f>""</f>
        <v/>
      </c>
      <c r="I3215" s="4" t="str">
        <f>""</f>
        <v/>
      </c>
    </row>
    <row r="3216" spans="1:9" x14ac:dyDescent="0.3">
      <c r="A3216" s="1" t="str">
        <f>"84"</f>
        <v>84</v>
      </c>
      <c r="B3216" s="4" t="str">
        <f>"ROSSI"</f>
        <v>ROSSI</v>
      </c>
      <c r="C3216" s="4">
        <v>333454338</v>
      </c>
      <c r="D3216" s="3" t="s">
        <v>0</v>
      </c>
      <c r="E3216" s="2" t="str">
        <f>"0006400546"</f>
        <v>0006400546</v>
      </c>
      <c r="F3216" s="5">
        <v>39777</v>
      </c>
      <c r="G3216" s="5">
        <v>54789</v>
      </c>
      <c r="H3216" s="4" t="str">
        <f>""</f>
        <v/>
      </c>
      <c r="I3216" s="4" t="str">
        <f>""</f>
        <v/>
      </c>
    </row>
    <row r="3217" spans="1:9" x14ac:dyDescent="0.3">
      <c r="A3217" s="1" t="str">
        <f>"84"</f>
        <v>84</v>
      </c>
      <c r="B3217" s="4" t="str">
        <f>"ETS ANDRE RECORDIER"</f>
        <v>ETS ANDRE RECORDIER</v>
      </c>
      <c r="C3217" s="4">
        <v>350747184</v>
      </c>
      <c r="D3217" s="3" t="s">
        <v>0</v>
      </c>
      <c r="E3217" s="2" t="str">
        <f>"PR8400004D"</f>
        <v>PR8400004D</v>
      </c>
      <c r="F3217" s="5">
        <v>38860</v>
      </c>
      <c r="G3217" s="5">
        <v>54789</v>
      </c>
      <c r="H3217" s="4" t="str">
        <f>""</f>
        <v/>
      </c>
      <c r="I3217" s="4" t="str">
        <f>""</f>
        <v/>
      </c>
    </row>
    <row r="3218" spans="1:9" x14ac:dyDescent="0.3">
      <c r="A3218" s="1" t="str">
        <f>"84"</f>
        <v>84</v>
      </c>
      <c r="B3218" s="4" t="str">
        <f>"ETS ANDRE RECORDIER"</f>
        <v>ETS ANDRE RECORDIER</v>
      </c>
      <c r="C3218" s="4">
        <v>350747184</v>
      </c>
      <c r="D3218" s="3" t="s">
        <v>0</v>
      </c>
      <c r="E3218" s="2" t="str">
        <f>"0006400544"</f>
        <v>0006400544</v>
      </c>
      <c r="F3218" s="5">
        <v>38860</v>
      </c>
      <c r="G3218" s="5">
        <v>54789</v>
      </c>
      <c r="H3218" s="4" t="str">
        <f>""</f>
        <v/>
      </c>
      <c r="I3218" s="4" t="str">
        <f>""</f>
        <v/>
      </c>
    </row>
    <row r="3219" spans="1:9" x14ac:dyDescent="0.3">
      <c r="A3219" s="1" t="str">
        <f>"84"</f>
        <v>84</v>
      </c>
      <c r="B3219" s="4" t="str">
        <f>"EXP JM AUTOS"</f>
        <v>EXP JM AUTOS</v>
      </c>
      <c r="C3219" s="4">
        <v>397879917</v>
      </c>
      <c r="D3219" s="3" t="s">
        <v>0</v>
      </c>
      <c r="E3219" s="2" t="str">
        <f>"0006400474"</f>
        <v>0006400474</v>
      </c>
      <c r="F3219" s="5">
        <v>38861</v>
      </c>
      <c r="G3219" s="5">
        <v>54789</v>
      </c>
      <c r="H3219" s="4" t="str">
        <f>""</f>
        <v/>
      </c>
      <c r="I3219" s="4" t="str">
        <f>""</f>
        <v/>
      </c>
    </row>
    <row r="3220" spans="1:9" x14ac:dyDescent="0.3">
      <c r="A3220" s="1" t="str">
        <f>"84"</f>
        <v>84</v>
      </c>
      <c r="B3220" s="4" t="str">
        <f>"EXP JM AUTOS"</f>
        <v>EXP JM AUTOS</v>
      </c>
      <c r="C3220" s="4">
        <v>397879917</v>
      </c>
      <c r="D3220" s="3" t="s">
        <v>0</v>
      </c>
      <c r="E3220" s="2" t="str">
        <f>"PR8400003D"</f>
        <v>PR8400003D</v>
      </c>
      <c r="F3220" s="5">
        <v>38861</v>
      </c>
      <c r="G3220" s="5">
        <v>54789</v>
      </c>
      <c r="H3220" s="4" t="str">
        <f>""</f>
        <v/>
      </c>
      <c r="I3220" s="4" t="str">
        <f>""</f>
        <v/>
      </c>
    </row>
    <row r="3221" spans="1:9" x14ac:dyDescent="0.3">
      <c r="A3221" s="1" t="str">
        <f>"84"</f>
        <v>84</v>
      </c>
      <c r="B3221" s="4" t="str">
        <f>"DÉMANTÈLEMENT RÉCUPÉRATION INDUSTRIEL"</f>
        <v>DÉMANTÈLEMENT RÉCUPÉRATION INDUSTRIEL</v>
      </c>
      <c r="C3221" s="4">
        <v>413299801</v>
      </c>
      <c r="D3221" s="3" t="s">
        <v>0</v>
      </c>
      <c r="E3221" s="2" t="str">
        <f>"PR8400019D"</f>
        <v>PR8400019D</v>
      </c>
      <c r="F3221" s="5">
        <v>39506</v>
      </c>
      <c r="G3221" s="5">
        <v>54789</v>
      </c>
      <c r="H3221" s="4" t="str">
        <f>""</f>
        <v/>
      </c>
      <c r="I3221" s="4" t="str">
        <f>""</f>
        <v/>
      </c>
    </row>
    <row r="3222" spans="1:9" x14ac:dyDescent="0.3">
      <c r="A3222" s="1" t="str">
        <f>"84"</f>
        <v>84</v>
      </c>
      <c r="B3222" s="4" t="str">
        <f>"DÉMANTÈLEMENT RÉCUPÉRATION INDUSTRIEL"</f>
        <v>DÉMANTÈLEMENT RÉCUPÉRATION INDUSTRIEL</v>
      </c>
      <c r="C3222" s="4">
        <v>413299801</v>
      </c>
      <c r="D3222" s="3" t="s">
        <v>0</v>
      </c>
      <c r="E3222" s="2" t="str">
        <f>"0006400524"</f>
        <v>0006400524</v>
      </c>
      <c r="F3222" s="5">
        <v>39506</v>
      </c>
      <c r="G3222" s="5">
        <v>54789</v>
      </c>
      <c r="H3222" s="4" t="str">
        <f>""</f>
        <v/>
      </c>
      <c r="I3222" s="4" t="str">
        <f>""</f>
        <v/>
      </c>
    </row>
    <row r="3223" spans="1:9" x14ac:dyDescent="0.3">
      <c r="A3223" s="1" t="str">
        <f>"84"</f>
        <v>84</v>
      </c>
      <c r="B3223" s="4" t="str">
        <f>"DURANCE DÉPANNAGE AUTO MOTO 1S"</f>
        <v>DURANCE DÉPANNAGE AUTO MOTO 1S</v>
      </c>
      <c r="C3223" s="4">
        <v>432728707</v>
      </c>
      <c r="D3223" s="3" t="s">
        <v>0</v>
      </c>
      <c r="E3223" s="2" t="str">
        <f>"PR8400021D"</f>
        <v>PR8400021D</v>
      </c>
      <c r="F3223" s="5">
        <v>39933</v>
      </c>
      <c r="G3223" s="5">
        <v>54789</v>
      </c>
      <c r="H3223" s="4" t="str">
        <f>""</f>
        <v/>
      </c>
      <c r="I3223" s="4" t="str">
        <f>""</f>
        <v/>
      </c>
    </row>
    <row r="3224" spans="1:9" x14ac:dyDescent="0.3">
      <c r="A3224" s="1" t="str">
        <f>"84"</f>
        <v>84</v>
      </c>
      <c r="B3224" s="4" t="str">
        <f>"DURANCE DÉPANNAGE AUTO MOTO 1S"</f>
        <v>DURANCE DÉPANNAGE AUTO MOTO 1S</v>
      </c>
      <c r="C3224" s="4">
        <v>432728707</v>
      </c>
      <c r="D3224" s="3" t="s">
        <v>0</v>
      </c>
      <c r="E3224" s="2" t="str">
        <f>"0006400465"</f>
        <v>0006400465</v>
      </c>
      <c r="F3224" s="5">
        <v>39933</v>
      </c>
      <c r="G3224" s="5">
        <v>54789</v>
      </c>
      <c r="H3224" s="4" t="str">
        <f>""</f>
        <v/>
      </c>
      <c r="I3224" s="4" t="str">
        <f>""</f>
        <v/>
      </c>
    </row>
    <row r="3225" spans="1:9" x14ac:dyDescent="0.3">
      <c r="A3225" s="1" t="str">
        <f>"84"</f>
        <v>84</v>
      </c>
      <c r="B3225" s="4" t="str">
        <f>"AUTO PIECES 84 +"</f>
        <v>AUTO PIECES 84 +</v>
      </c>
      <c r="C3225" s="4">
        <v>432944593</v>
      </c>
      <c r="D3225" s="3" t="s">
        <v>0</v>
      </c>
      <c r="E3225" s="2" t="str">
        <f>"PR8400014D"</f>
        <v>PR8400014D</v>
      </c>
      <c r="F3225" s="5">
        <v>38924</v>
      </c>
      <c r="G3225" s="5">
        <v>54789</v>
      </c>
      <c r="H3225" s="4" t="str">
        <f>""</f>
        <v/>
      </c>
      <c r="I3225" s="4" t="str">
        <f>""</f>
        <v/>
      </c>
    </row>
    <row r="3226" spans="1:9" x14ac:dyDescent="0.3">
      <c r="A3226" s="1" t="str">
        <f>"84"</f>
        <v>84</v>
      </c>
      <c r="B3226" s="4" t="str">
        <f>"AUTO PIECES 84 +"</f>
        <v>AUTO PIECES 84 +</v>
      </c>
      <c r="C3226" s="4">
        <v>432944593</v>
      </c>
      <c r="D3226" s="3" t="s">
        <v>0</v>
      </c>
      <c r="E3226" s="2" t="str">
        <f>"0006402107"</f>
        <v>0006402107</v>
      </c>
      <c r="F3226" s="5">
        <v>38924</v>
      </c>
      <c r="G3226" s="5">
        <v>54789</v>
      </c>
      <c r="H3226" s="4" t="str">
        <f>""</f>
        <v/>
      </c>
      <c r="I3226" s="4" t="str">
        <f>""</f>
        <v/>
      </c>
    </row>
    <row r="3227" spans="1:9" x14ac:dyDescent="0.3">
      <c r="A3227" s="1" t="str">
        <f>"84"</f>
        <v>84</v>
      </c>
      <c r="B3227" s="4" t="str">
        <f>"AUTOS PIÈCES DISTRIBUTION"</f>
        <v>AUTOS PIÈCES DISTRIBUTION</v>
      </c>
      <c r="C3227" s="4">
        <v>439984485</v>
      </c>
      <c r="D3227" s="3" t="s">
        <v>0</v>
      </c>
      <c r="E3227" s="2" t="str">
        <f>"PR8400022D"</f>
        <v>PR8400022D</v>
      </c>
      <c r="F3227" s="5">
        <v>40177</v>
      </c>
      <c r="G3227" s="5">
        <v>54789</v>
      </c>
      <c r="H3227" s="4" t="str">
        <f>""</f>
        <v/>
      </c>
      <c r="I3227" s="4" t="str">
        <f>""</f>
        <v/>
      </c>
    </row>
    <row r="3228" spans="1:9" x14ac:dyDescent="0.3">
      <c r="A3228" s="1" t="str">
        <f>"84"</f>
        <v>84</v>
      </c>
      <c r="B3228" s="4" t="str">
        <f>"AUTOS PIÈCES DISTRIBUTION"</f>
        <v>AUTOS PIÈCES DISTRIBUTION</v>
      </c>
      <c r="C3228" s="4">
        <v>439984485</v>
      </c>
      <c r="D3228" s="3" t="s">
        <v>0</v>
      </c>
      <c r="E3228" s="2" t="str">
        <f>"0006400412"</f>
        <v>0006400412</v>
      </c>
      <c r="F3228" s="5">
        <v>40177</v>
      </c>
      <c r="G3228" s="5">
        <v>54789</v>
      </c>
      <c r="H3228" s="4" t="str">
        <f>""</f>
        <v/>
      </c>
      <c r="I3228" s="4" t="str">
        <f>""</f>
        <v/>
      </c>
    </row>
    <row r="3229" spans="1:9" x14ac:dyDescent="0.3">
      <c r="A3229" s="1" t="str">
        <f>"84"</f>
        <v>84</v>
      </c>
      <c r="B3229" s="4" t="str">
        <f>"PELISSIER"</f>
        <v>PELISSIER</v>
      </c>
      <c r="C3229" s="4">
        <v>443712906</v>
      </c>
      <c r="D3229" s="3" t="s">
        <v>0</v>
      </c>
      <c r="E3229" s="2" t="str">
        <f>"PR8400011D"</f>
        <v>PR8400011D</v>
      </c>
      <c r="F3229" s="5">
        <v>38908</v>
      </c>
      <c r="G3229" s="5">
        <v>54789</v>
      </c>
      <c r="H3229" s="4" t="str">
        <f>""</f>
        <v/>
      </c>
      <c r="I3229" s="4" t="str">
        <f>""</f>
        <v/>
      </c>
    </row>
    <row r="3230" spans="1:9" x14ac:dyDescent="0.3">
      <c r="A3230" s="1" t="str">
        <f>"84"</f>
        <v>84</v>
      </c>
      <c r="B3230" s="4" t="str">
        <f>"PELISSIER"</f>
        <v>PELISSIER</v>
      </c>
      <c r="C3230" s="4">
        <v>443712906</v>
      </c>
      <c r="D3230" s="3" t="s">
        <v>0</v>
      </c>
      <c r="E3230" s="2" t="str">
        <f>"0006400373"</f>
        <v>0006400373</v>
      </c>
      <c r="F3230" s="5">
        <v>38908</v>
      </c>
      <c r="G3230" s="5">
        <v>54789</v>
      </c>
      <c r="H3230" s="4" t="str">
        <f>""</f>
        <v/>
      </c>
      <c r="I3230" s="4" t="str">
        <f>""</f>
        <v/>
      </c>
    </row>
    <row r="3231" spans="1:9" x14ac:dyDescent="0.3">
      <c r="A3231" s="1" t="str">
        <f>"84"</f>
        <v>84</v>
      </c>
      <c r="B3231" s="4" t="str">
        <f>"PANCALLO DEMO 4x4"</f>
        <v>PANCALLO DEMO 4x4</v>
      </c>
      <c r="C3231" s="4">
        <v>445355639</v>
      </c>
      <c r="D3231" s="3" t="s">
        <v>0</v>
      </c>
      <c r="E3231" s="2" t="str">
        <f>"PR8400026D"</f>
        <v>PR8400026D</v>
      </c>
      <c r="F3231" s="5">
        <v>43654</v>
      </c>
      <c r="G3231" s="5">
        <v>54789</v>
      </c>
      <c r="H3231" s="4" t="str">
        <f>""</f>
        <v/>
      </c>
      <c r="I3231" s="4" t="str">
        <f>""</f>
        <v/>
      </c>
    </row>
    <row r="3232" spans="1:9" x14ac:dyDescent="0.3">
      <c r="A3232" s="1" t="str">
        <f>"84"</f>
        <v>84</v>
      </c>
      <c r="B3232" s="4" t="str">
        <f>"PANCALLO DEMO 4x5"</f>
        <v>PANCALLO DEMO 4x5</v>
      </c>
      <c r="C3232" s="4">
        <v>445355639</v>
      </c>
      <c r="D3232" s="3" t="s">
        <v>0</v>
      </c>
      <c r="E3232" s="2" t="str">
        <f>"0006412300"</f>
        <v>0006412300</v>
      </c>
      <c r="F3232" s="5">
        <v>43654</v>
      </c>
      <c r="G3232" s="5">
        <v>54789</v>
      </c>
      <c r="H3232" s="4" t="str">
        <f>""</f>
        <v/>
      </c>
      <c r="I3232" s="4" t="str">
        <f>""</f>
        <v/>
      </c>
    </row>
    <row r="3233" spans="1:9" x14ac:dyDescent="0.3">
      <c r="A3233" s="1" t="str">
        <f>"84"</f>
        <v>84</v>
      </c>
      <c r="B3233" s="4" t="str">
        <f>"FL INDUSTRIE"</f>
        <v>FL INDUSTRIE</v>
      </c>
      <c r="C3233" s="4">
        <v>449598457</v>
      </c>
      <c r="D3233" s="3" t="s">
        <v>0</v>
      </c>
      <c r="E3233" s="2" t="str">
        <f>"PR8400023D"</f>
        <v>PR8400023D</v>
      </c>
      <c r="F3233" s="5">
        <v>41099</v>
      </c>
      <c r="G3233" s="5">
        <v>54789</v>
      </c>
      <c r="H3233" s="4" t="str">
        <f>""</f>
        <v/>
      </c>
      <c r="I3233" s="4" t="str">
        <f>""</f>
        <v/>
      </c>
    </row>
    <row r="3234" spans="1:9" x14ac:dyDescent="0.3">
      <c r="A3234" s="1" t="str">
        <f>"84"</f>
        <v>84</v>
      </c>
      <c r="B3234" s="4" t="str">
        <f>"FL INDUSTRIE"</f>
        <v>FL INDUSTRIE</v>
      </c>
      <c r="C3234" s="4">
        <v>449598457</v>
      </c>
      <c r="D3234" s="3" t="s">
        <v>0</v>
      </c>
      <c r="E3234" s="2" t="str">
        <f>"0006409760"</f>
        <v>0006409760</v>
      </c>
      <c r="F3234" s="5">
        <v>41099</v>
      </c>
      <c r="G3234" s="5">
        <v>54789</v>
      </c>
      <c r="H3234" s="4" t="str">
        <f>""</f>
        <v/>
      </c>
      <c r="I3234" s="4" t="str">
        <f>""</f>
        <v/>
      </c>
    </row>
    <row r="3235" spans="1:9" x14ac:dyDescent="0.3">
      <c r="A3235" s="1" t="str">
        <f>"84"</f>
        <v>84</v>
      </c>
      <c r="B3235" s="4" t="str">
        <f>"AUTO STOP DÉMOLITION"</f>
        <v>AUTO STOP DÉMOLITION</v>
      </c>
      <c r="C3235" s="4">
        <v>501873152</v>
      </c>
      <c r="D3235" s="3" t="s">
        <v>0</v>
      </c>
      <c r="E3235" s="2" t="str">
        <f>"PR8400002D"</f>
        <v>PR8400002D</v>
      </c>
      <c r="F3235" s="5">
        <v>38861</v>
      </c>
      <c r="G3235" s="5">
        <v>54789</v>
      </c>
      <c r="H3235" s="4" t="str">
        <f>""</f>
        <v/>
      </c>
      <c r="I3235" s="4" t="str">
        <f>""</f>
        <v/>
      </c>
    </row>
    <row r="3236" spans="1:9" x14ac:dyDescent="0.3">
      <c r="A3236" s="1" t="str">
        <f>"84"</f>
        <v>84</v>
      </c>
      <c r="B3236" s="4" t="str">
        <f>"AUTO STOP DÉMOLITION"</f>
        <v>AUTO STOP DÉMOLITION</v>
      </c>
      <c r="C3236" s="4">
        <v>501873152</v>
      </c>
      <c r="D3236" s="3" t="s">
        <v>0</v>
      </c>
      <c r="E3236" s="2" t="str">
        <f>"0006400400"</f>
        <v>0006400400</v>
      </c>
      <c r="F3236" s="5">
        <v>38861</v>
      </c>
      <c r="G3236" s="5">
        <v>54789</v>
      </c>
      <c r="H3236" s="4" t="str">
        <f>""</f>
        <v/>
      </c>
      <c r="I3236" s="4" t="str">
        <f>""</f>
        <v/>
      </c>
    </row>
    <row r="3237" spans="1:9" x14ac:dyDescent="0.3">
      <c r="A3237" s="1" t="str">
        <f>"84"</f>
        <v>84</v>
      </c>
      <c r="B3237" s="4" t="str">
        <f>"ETS JOSEPH MICHEL"</f>
        <v>ETS JOSEPH MICHEL</v>
      </c>
      <c r="C3237" s="4">
        <v>552621302</v>
      </c>
      <c r="D3237" s="3" t="s">
        <v>0</v>
      </c>
      <c r="E3237" s="2" t="str">
        <f>"PR8400016D"</f>
        <v>PR8400016D</v>
      </c>
      <c r="F3237" s="5">
        <v>39010</v>
      </c>
      <c r="G3237" s="5">
        <v>54789</v>
      </c>
      <c r="H3237" s="4" t="str">
        <f>""</f>
        <v/>
      </c>
      <c r="I3237" s="4" t="str">
        <f>""</f>
        <v/>
      </c>
    </row>
    <row r="3238" spans="1:9" x14ac:dyDescent="0.3">
      <c r="A3238" s="1" t="str">
        <f>"84"</f>
        <v>84</v>
      </c>
      <c r="B3238" s="4" t="str">
        <f>"ETS JOSEPH MICHEL"</f>
        <v>ETS JOSEPH MICHEL</v>
      </c>
      <c r="C3238" s="4">
        <v>552621302</v>
      </c>
      <c r="D3238" s="3" t="s">
        <v>0</v>
      </c>
      <c r="E3238" s="2" t="str">
        <f>"0006406094"</f>
        <v>0006406094</v>
      </c>
      <c r="F3238" s="5">
        <v>39010</v>
      </c>
      <c r="G3238" s="5">
        <v>54789</v>
      </c>
      <c r="H3238" s="4" t="str">
        <f>""</f>
        <v/>
      </c>
      <c r="I3238" s="4" t="str">
        <f>""</f>
        <v/>
      </c>
    </row>
    <row r="3239" spans="1:9" x14ac:dyDescent="0.3">
      <c r="A3239" s="1" t="str">
        <f>"84"</f>
        <v>84</v>
      </c>
      <c r="B3239" s="4" t="str">
        <f>"SPLM COUDOURET"</f>
        <v>SPLM COUDOURET</v>
      </c>
      <c r="C3239" s="4">
        <v>692613359</v>
      </c>
      <c r="D3239" s="3" t="s">
        <v>0</v>
      </c>
      <c r="E3239" s="2" t="str">
        <f>"PR8400018D"</f>
        <v>PR8400018D</v>
      </c>
      <c r="F3239" s="5">
        <v>39435</v>
      </c>
      <c r="G3239" s="5">
        <v>54789</v>
      </c>
      <c r="H3239" s="4" t="str">
        <f>""</f>
        <v/>
      </c>
      <c r="I3239" s="4" t="str">
        <f>""</f>
        <v/>
      </c>
    </row>
    <row r="3240" spans="1:9" x14ac:dyDescent="0.3">
      <c r="A3240" s="1" t="str">
        <f>"84"</f>
        <v>84</v>
      </c>
      <c r="B3240" s="4" t="str">
        <f>"SPLM COUDOURET"</f>
        <v>SPLM COUDOURET</v>
      </c>
      <c r="C3240" s="4">
        <v>692613359</v>
      </c>
      <c r="D3240" s="3" t="s">
        <v>0</v>
      </c>
      <c r="E3240" s="2" t="str">
        <f>"0006400507"</f>
        <v>0006400507</v>
      </c>
      <c r="F3240" s="5">
        <v>39435</v>
      </c>
      <c r="G3240" s="5">
        <v>54789</v>
      </c>
      <c r="H3240" s="4" t="str">
        <f>""</f>
        <v/>
      </c>
      <c r="I3240" s="4" t="str">
        <f>""</f>
        <v/>
      </c>
    </row>
    <row r="3241" spans="1:9" x14ac:dyDescent="0.3">
      <c r="A3241" s="1" t="str">
        <f>"84"</f>
        <v>84</v>
      </c>
      <c r="B3241" s="4" t="str">
        <f>"ÉTABLISSEMENT SALAVERT"</f>
        <v>ÉTABLISSEMENT SALAVERT</v>
      </c>
      <c r="C3241" s="4">
        <v>722980182</v>
      </c>
      <c r="D3241" s="3" t="s">
        <v>0</v>
      </c>
      <c r="E3241" s="2" t="str">
        <f>"PR8400013D"</f>
        <v>PR8400013D</v>
      </c>
      <c r="F3241" s="5">
        <v>38923</v>
      </c>
      <c r="G3241" s="5">
        <v>54789</v>
      </c>
      <c r="H3241" s="4" t="str">
        <f>""</f>
        <v/>
      </c>
      <c r="I3241" s="4" t="str">
        <f>""</f>
        <v/>
      </c>
    </row>
    <row r="3242" spans="1:9" x14ac:dyDescent="0.3">
      <c r="A3242" s="1" t="str">
        <f>"84"</f>
        <v>84</v>
      </c>
      <c r="B3242" s="4" t="str">
        <f>"ÉTABLISSEMENT SALAVERT"</f>
        <v>ÉTABLISSEMENT SALAVERT</v>
      </c>
      <c r="C3242" s="4">
        <v>722980182</v>
      </c>
      <c r="D3242" s="3" t="s">
        <v>0</v>
      </c>
      <c r="E3242" s="2" t="str">
        <f>"0006400426"</f>
        <v>0006400426</v>
      </c>
      <c r="F3242" s="5">
        <v>38923</v>
      </c>
      <c r="G3242" s="5">
        <v>54789</v>
      </c>
      <c r="H3242" s="4" t="str">
        <f>""</f>
        <v/>
      </c>
      <c r="I3242" s="4" t="str">
        <f>""</f>
        <v/>
      </c>
    </row>
    <row r="3243" spans="1:9" x14ac:dyDescent="0.3">
      <c r="A3243" s="1" t="str">
        <f>"84"</f>
        <v>84</v>
      </c>
      <c r="B3243" s="4" t="str">
        <f>"DÉMOLITION AUTO ENRIETTO"</f>
        <v>DÉMOLITION AUTO ENRIETTO</v>
      </c>
      <c r="C3243" s="4">
        <v>878980507</v>
      </c>
      <c r="D3243" s="3" t="s">
        <v>0</v>
      </c>
      <c r="E3243" s="2" t="str">
        <f>"PR8400009D"</f>
        <v>PR8400009D</v>
      </c>
      <c r="F3243" s="5">
        <v>38861</v>
      </c>
      <c r="G3243" s="5">
        <v>54789</v>
      </c>
      <c r="H3243" s="4" t="str">
        <f>""</f>
        <v/>
      </c>
      <c r="I3243" s="4" t="str">
        <f>""</f>
        <v/>
      </c>
    </row>
    <row r="3244" spans="1:9" x14ac:dyDescent="0.3">
      <c r="A3244" s="1" t="str">
        <f>"84"</f>
        <v>84</v>
      </c>
      <c r="B3244" s="4" t="str">
        <f>"DÉMOLITION AUTO ENRIETTO"</f>
        <v>DÉMOLITION AUTO ENRIETTO</v>
      </c>
      <c r="C3244" s="4">
        <v>878980507</v>
      </c>
      <c r="D3244" s="3" t="s">
        <v>0</v>
      </c>
      <c r="E3244" s="2" t="str">
        <f>"0006405408"</f>
        <v>0006405408</v>
      </c>
      <c r="F3244" s="5">
        <v>38861</v>
      </c>
      <c r="G3244" s="5">
        <v>54789</v>
      </c>
      <c r="H3244" s="4" t="str">
        <f>""</f>
        <v/>
      </c>
      <c r="I3244" s="4" t="str">
        <f>""</f>
        <v/>
      </c>
    </row>
    <row r="3245" spans="1:9" x14ac:dyDescent="0.3">
      <c r="A3245" s="1" t="str">
        <f>"85"</f>
        <v>85</v>
      </c>
      <c r="B3245" s="4" t="str">
        <f>"BRANGEON RECYCLAGE"</f>
        <v>BRANGEON RECYCLAGE</v>
      </c>
      <c r="C3245" s="4">
        <v>62200753</v>
      </c>
      <c r="D3245" s="3" t="s">
        <v>0</v>
      </c>
      <c r="E3245" s="2" t="str">
        <f>"PR8500030D"</f>
        <v>PR8500030D</v>
      </c>
      <c r="F3245" s="5">
        <v>43713</v>
      </c>
      <c r="G3245" s="5">
        <v>54789</v>
      </c>
      <c r="H3245" s="4" t="str">
        <f>""</f>
        <v/>
      </c>
      <c r="I3245" s="4" t="str">
        <f>""</f>
        <v/>
      </c>
    </row>
    <row r="3246" spans="1:9" x14ac:dyDescent="0.3">
      <c r="A3246" s="1" t="str">
        <f>"85"</f>
        <v>85</v>
      </c>
      <c r="B3246" s="4" t="str">
        <f>"BRANGEON RECYCLAGE"</f>
        <v>BRANGEON RECYCLAGE</v>
      </c>
      <c r="C3246" s="4">
        <v>62200753</v>
      </c>
      <c r="D3246" s="3" t="s">
        <v>0</v>
      </c>
      <c r="E3246" s="2" t="str">
        <f>"0006308646"</f>
        <v>0006308646</v>
      </c>
      <c r="F3246" s="5">
        <v>43713</v>
      </c>
      <c r="G3246" s="5">
        <v>54789</v>
      </c>
      <c r="H3246" s="4" t="str">
        <f>""</f>
        <v/>
      </c>
      <c r="I3246" s="4" t="str">
        <f>""</f>
        <v/>
      </c>
    </row>
    <row r="3247" spans="1:9" x14ac:dyDescent="0.3">
      <c r="A3247" s="1" t="str">
        <f>"85"</f>
        <v>85</v>
      </c>
      <c r="B3247" s="4" t="str">
        <f>"BRANGEON RECYCLAGE ATLANTIQUE"</f>
        <v>BRANGEON RECYCLAGE ATLANTIQUE</v>
      </c>
      <c r="C3247" s="4">
        <v>62200753</v>
      </c>
      <c r="D3247" s="3" t="s">
        <v>0</v>
      </c>
      <c r="E3247" s="2" t="str">
        <f>"PR8500009D"</f>
        <v>PR8500009D</v>
      </c>
      <c r="F3247" s="5">
        <v>45292</v>
      </c>
      <c r="G3247" s="5">
        <v>54789</v>
      </c>
      <c r="H3247" s="4" t="str">
        <f>""</f>
        <v/>
      </c>
      <c r="I3247" s="4" t="str">
        <f>""</f>
        <v/>
      </c>
    </row>
    <row r="3248" spans="1:9" x14ac:dyDescent="0.3">
      <c r="A3248" s="1" t="str">
        <f>"85"</f>
        <v>85</v>
      </c>
      <c r="B3248" s="4" t="str">
        <f>"BRANGEON RECYCLAGE ATLANTIQUE"</f>
        <v>BRANGEON RECYCLAGE ATLANTIQUE</v>
      </c>
      <c r="C3248" s="4">
        <v>62200753</v>
      </c>
      <c r="D3248" s="3" t="s">
        <v>0</v>
      </c>
      <c r="E3248" s="2" t="str">
        <f>"0006302607"</f>
        <v>0006302607</v>
      </c>
      <c r="F3248" s="5">
        <v>45292</v>
      </c>
      <c r="G3248" s="5">
        <v>54789</v>
      </c>
      <c r="H3248" s="4" t="str">
        <f>""</f>
        <v/>
      </c>
      <c r="I3248" s="4" t="str">
        <f>""</f>
        <v/>
      </c>
    </row>
    <row r="3249" spans="1:9" x14ac:dyDescent="0.3">
      <c r="A3249" s="1" t="str">
        <f>"85"</f>
        <v>85</v>
      </c>
      <c r="B3249" s="4" t="str">
        <f>"BRANGEON RECYCLAGE"</f>
        <v>BRANGEON RECYCLAGE</v>
      </c>
      <c r="C3249" s="4">
        <v>62200753</v>
      </c>
      <c r="D3249" s="3" t="s">
        <v>0</v>
      </c>
      <c r="E3249" s="2" t="str">
        <f>"PR8500021D"</f>
        <v>PR8500021D</v>
      </c>
      <c r="F3249" s="5">
        <v>42086</v>
      </c>
      <c r="G3249" s="5">
        <v>54789</v>
      </c>
      <c r="H3249" s="4" t="str">
        <f>""</f>
        <v/>
      </c>
      <c r="I3249" s="4" t="str">
        <f>""</f>
        <v/>
      </c>
    </row>
    <row r="3250" spans="1:9" x14ac:dyDescent="0.3">
      <c r="A3250" s="1" t="str">
        <f>"85"</f>
        <v>85</v>
      </c>
      <c r="B3250" s="4" t="str">
        <f>"BRANGEON RECYCLAGE"</f>
        <v>BRANGEON RECYCLAGE</v>
      </c>
      <c r="C3250" s="4">
        <v>62200753</v>
      </c>
      <c r="D3250" s="3" t="s">
        <v>0</v>
      </c>
      <c r="E3250" s="2" t="str">
        <f>"0006305412"</f>
        <v>0006305412</v>
      </c>
      <c r="F3250" s="5">
        <v>42086</v>
      </c>
      <c r="G3250" s="5">
        <v>54789</v>
      </c>
      <c r="H3250" s="4" t="str">
        <f>""</f>
        <v/>
      </c>
      <c r="I3250" s="4" t="str">
        <f>""</f>
        <v/>
      </c>
    </row>
    <row r="3251" spans="1:9" x14ac:dyDescent="0.3">
      <c r="A3251" s="1" t="str">
        <f>"85"</f>
        <v>85</v>
      </c>
      <c r="B3251" s="4" t="str">
        <f>"BILLAUD PIECES &amp; AUTOS"</f>
        <v>BILLAUD PIECES &amp; AUTOS</v>
      </c>
      <c r="C3251" s="4">
        <v>341841773</v>
      </c>
      <c r="D3251" s="3" t="s">
        <v>0</v>
      </c>
      <c r="E3251" s="2" t="str">
        <f>"PR850027D"</f>
        <v>PR850027D</v>
      </c>
      <c r="F3251" s="5">
        <v>43718</v>
      </c>
      <c r="G3251" s="5">
        <v>54789</v>
      </c>
      <c r="H3251" s="4" t="str">
        <f>""</f>
        <v/>
      </c>
      <c r="I3251" s="4" t="str">
        <f>""</f>
        <v/>
      </c>
    </row>
    <row r="3252" spans="1:9" x14ac:dyDescent="0.3">
      <c r="A3252" s="1" t="str">
        <f>"85"</f>
        <v>85</v>
      </c>
      <c r="B3252" s="4" t="str">
        <f>"BILLAUD PIECES &amp; AUTOS"</f>
        <v>BILLAUD PIECES &amp; AUTOS</v>
      </c>
      <c r="C3252" s="4">
        <v>341841773</v>
      </c>
      <c r="D3252" s="3" t="s">
        <v>0</v>
      </c>
      <c r="E3252" s="2" t="str">
        <f>"0006306604"</f>
        <v>0006306604</v>
      </c>
      <c r="F3252" s="5">
        <v>43718</v>
      </c>
      <c r="G3252" s="5">
        <v>54789</v>
      </c>
      <c r="H3252" s="4" t="str">
        <f>""</f>
        <v/>
      </c>
      <c r="I3252" s="4" t="str">
        <f>""</f>
        <v/>
      </c>
    </row>
    <row r="3253" spans="1:9" x14ac:dyDescent="0.3">
      <c r="A3253" s="1" t="str">
        <f>"85"</f>
        <v>85</v>
      </c>
      <c r="B3253" s="4" t="str">
        <f>"Madame Nelly SAGOT (Saint Germain récupération)"</f>
        <v>Madame Nelly SAGOT (Saint Germain récupération)</v>
      </c>
      <c r="C3253" s="4">
        <v>344907878</v>
      </c>
      <c r="D3253" s="3" t="s">
        <v>0</v>
      </c>
      <c r="E3253" s="2" t="str">
        <f>"PR850024D"</f>
        <v>PR850024D</v>
      </c>
      <c r="F3253" s="5">
        <v>44746</v>
      </c>
      <c r="G3253" s="5">
        <v>54789</v>
      </c>
      <c r="H3253" s="4" t="str">
        <f>"SAGOT"</f>
        <v>SAGOT</v>
      </c>
      <c r="I3253" s="4" t="str">
        <f>"Nelly"</f>
        <v>Nelly</v>
      </c>
    </row>
    <row r="3254" spans="1:9" x14ac:dyDescent="0.3">
      <c r="A3254" s="1" t="str">
        <f>"85"</f>
        <v>85</v>
      </c>
      <c r="B3254" s="4" t="str">
        <f>"Madame Nelly SAGOT (Saint Germain récupération)"</f>
        <v>Madame Nelly SAGOT (Saint Germain récupération)</v>
      </c>
      <c r="C3254" s="4">
        <v>344907878</v>
      </c>
      <c r="D3254" s="3" t="s">
        <v>0</v>
      </c>
      <c r="E3254" s="2" t="str">
        <f>"0006304542"</f>
        <v>0006304542</v>
      </c>
      <c r="F3254" s="5">
        <v>44746</v>
      </c>
      <c r="G3254" s="5">
        <v>54789</v>
      </c>
      <c r="H3254" s="4" t="str">
        <f>""</f>
        <v/>
      </c>
      <c r="I3254" s="4" t="str">
        <f>""</f>
        <v/>
      </c>
    </row>
    <row r="3255" spans="1:9" x14ac:dyDescent="0.3">
      <c r="A3255" s="1" t="str">
        <f>"85"</f>
        <v>85</v>
      </c>
      <c r="B3255" s="4" t="str">
        <f>"FORTIN AUTOMOBILE"</f>
        <v>FORTIN AUTOMOBILE</v>
      </c>
      <c r="C3255" s="4">
        <v>349512608</v>
      </c>
      <c r="D3255" s="3" t="s">
        <v>0</v>
      </c>
      <c r="E3255" s="2" t="str">
        <f>"PR850007D"</f>
        <v>PR850007D</v>
      </c>
      <c r="F3255" s="5">
        <v>43713</v>
      </c>
      <c r="G3255" s="5">
        <v>54789</v>
      </c>
      <c r="H3255" s="4" t="str">
        <f>""</f>
        <v/>
      </c>
      <c r="I3255" s="4" t="str">
        <f>""</f>
        <v/>
      </c>
    </row>
    <row r="3256" spans="1:9" x14ac:dyDescent="0.3">
      <c r="A3256" s="1" t="str">
        <f>"85"</f>
        <v>85</v>
      </c>
      <c r="B3256" s="4" t="str">
        <f>"FORTIN AUTOMOBILE"</f>
        <v>FORTIN AUTOMOBILE</v>
      </c>
      <c r="C3256" s="4">
        <v>349512608</v>
      </c>
      <c r="D3256" s="3" t="s">
        <v>0</v>
      </c>
      <c r="E3256" s="2" t="str">
        <f>"0006302956"</f>
        <v>0006302956</v>
      </c>
      <c r="F3256" s="5">
        <v>43713</v>
      </c>
      <c r="G3256" s="5">
        <v>54789</v>
      </c>
      <c r="H3256" s="4" t="str">
        <f>""</f>
        <v/>
      </c>
      <c r="I3256" s="4" t="str">
        <f>""</f>
        <v/>
      </c>
    </row>
    <row r="3257" spans="1:9" x14ac:dyDescent="0.3">
      <c r="A3257" s="1" t="str">
        <f>"85"</f>
        <v>85</v>
      </c>
      <c r="B3257" s="4" t="str">
        <f>"CASS'AUTO"</f>
        <v>CASS'AUTO</v>
      </c>
      <c r="C3257" s="4">
        <v>378651814</v>
      </c>
      <c r="D3257" s="3" t="s">
        <v>0</v>
      </c>
      <c r="E3257" s="2" t="str">
        <f>"PR850022D"</f>
        <v>PR850022D</v>
      </c>
      <c r="F3257" s="5">
        <v>42293</v>
      </c>
      <c r="G3257" s="5">
        <v>54789</v>
      </c>
      <c r="H3257" s="4" t="str">
        <f>""</f>
        <v/>
      </c>
      <c r="I3257" s="4" t="str">
        <f>""</f>
        <v/>
      </c>
    </row>
    <row r="3258" spans="1:9" x14ac:dyDescent="0.3">
      <c r="A3258" s="1" t="str">
        <f>"85"</f>
        <v>85</v>
      </c>
      <c r="B3258" s="4" t="str">
        <f>"CASS'AUTO"</f>
        <v>CASS'AUTO</v>
      </c>
      <c r="C3258" s="4">
        <v>378651814</v>
      </c>
      <c r="D3258" s="3" t="s">
        <v>0</v>
      </c>
      <c r="E3258" s="2" t="str">
        <f>"0006305536"</f>
        <v>0006305536</v>
      </c>
      <c r="F3258" s="5">
        <v>42293</v>
      </c>
      <c r="G3258" s="5">
        <v>54789</v>
      </c>
      <c r="H3258" s="4" t="str">
        <f>""</f>
        <v/>
      </c>
      <c r="I3258" s="4" t="str">
        <f>""</f>
        <v/>
      </c>
    </row>
    <row r="3259" spans="1:9" x14ac:dyDescent="0.3">
      <c r="A3259" s="1" t="str">
        <f>"85"</f>
        <v>85</v>
      </c>
      <c r="B3259" s="4" t="str">
        <f>"ETABLISSEMENTS LOUIS MARTINEAU"</f>
        <v>ETABLISSEMENTS LOUIS MARTINEAU</v>
      </c>
      <c r="C3259" s="4">
        <v>381246248</v>
      </c>
      <c r="D3259" s="3" t="s">
        <v>0</v>
      </c>
      <c r="E3259" s="2" t="str">
        <f>"PR850005D"</f>
        <v>PR850005D</v>
      </c>
      <c r="F3259" s="5">
        <v>43227</v>
      </c>
      <c r="G3259" s="5">
        <v>54789</v>
      </c>
      <c r="H3259" s="4" t="str">
        <f>""</f>
        <v/>
      </c>
      <c r="I3259" s="4" t="str">
        <f>""</f>
        <v/>
      </c>
    </row>
    <row r="3260" spans="1:9" x14ac:dyDescent="0.3">
      <c r="A3260" s="1" t="str">
        <f>"85"</f>
        <v>85</v>
      </c>
      <c r="B3260" s="4" t="str">
        <f>"ETABLISSEMENTS LOUIS MARTINEAU"</f>
        <v>ETABLISSEMENTS LOUIS MARTINEAU</v>
      </c>
      <c r="C3260" s="4">
        <v>381246248</v>
      </c>
      <c r="D3260" s="3" t="s">
        <v>0</v>
      </c>
      <c r="E3260" s="2" t="str">
        <f>"0006302920"</f>
        <v>0006302920</v>
      </c>
      <c r="F3260" s="5">
        <v>43227</v>
      </c>
      <c r="G3260" s="5">
        <v>54789</v>
      </c>
      <c r="H3260" s="4" t="str">
        <f>""</f>
        <v/>
      </c>
      <c r="I3260" s="4" t="str">
        <f>""</f>
        <v/>
      </c>
    </row>
    <row r="3261" spans="1:9" x14ac:dyDescent="0.3">
      <c r="A3261" s="1" t="str">
        <f>"85"</f>
        <v>85</v>
      </c>
      <c r="B3261" s="4" t="str">
        <f>"AFM RECYCLAGE LUCON"</f>
        <v>AFM RECYCLAGE LUCON</v>
      </c>
      <c r="C3261" s="4">
        <v>383482635</v>
      </c>
      <c r="D3261" s="3" t="s">
        <v>0</v>
      </c>
      <c r="E3261" s="2" t="str">
        <f>"PR8500018D"</f>
        <v>PR8500018D</v>
      </c>
      <c r="F3261" s="5">
        <v>43902</v>
      </c>
      <c r="G3261" s="5">
        <v>54789</v>
      </c>
      <c r="H3261" s="4" t="str">
        <f>""</f>
        <v/>
      </c>
      <c r="I3261" s="4" t="str">
        <f>""</f>
        <v/>
      </c>
    </row>
    <row r="3262" spans="1:9" x14ac:dyDescent="0.3">
      <c r="A3262" s="1" t="str">
        <f>"85"</f>
        <v>85</v>
      </c>
      <c r="B3262" s="4" t="str">
        <f>"AFM RECYCLAGE LUCON"</f>
        <v>AFM RECYCLAGE LUCON</v>
      </c>
      <c r="C3262" s="4">
        <v>383482635</v>
      </c>
      <c r="D3262" s="3" t="s">
        <v>0</v>
      </c>
      <c r="E3262" s="2" t="str">
        <f>"0006302381"</f>
        <v>0006302381</v>
      </c>
      <c r="F3262" s="5">
        <v>43902</v>
      </c>
      <c r="G3262" s="5">
        <v>54789</v>
      </c>
      <c r="H3262" s="4" t="str">
        <f>""</f>
        <v/>
      </c>
      <c r="I3262" s="4" t="str">
        <f>""</f>
        <v/>
      </c>
    </row>
    <row r="3263" spans="1:9" x14ac:dyDescent="0.3">
      <c r="A3263" s="1" t="str">
        <f>"85"</f>
        <v>85</v>
      </c>
      <c r="B3263" s="4" t="str">
        <f>"AFM RECYCLAGE SALLERTAINE"</f>
        <v>AFM RECYCLAGE SALLERTAINE</v>
      </c>
      <c r="C3263" s="4">
        <v>383482635</v>
      </c>
      <c r="D3263" s="3" t="s">
        <v>0</v>
      </c>
      <c r="E3263" s="2" t="str">
        <f>"PR8500015D"</f>
        <v>PR8500015D</v>
      </c>
      <c r="F3263" s="5">
        <v>43266</v>
      </c>
      <c r="G3263" s="5">
        <v>54789</v>
      </c>
      <c r="H3263" s="4" t="str">
        <f>""</f>
        <v/>
      </c>
      <c r="I3263" s="4" t="str">
        <f>""</f>
        <v/>
      </c>
    </row>
    <row r="3264" spans="1:9" x14ac:dyDescent="0.3">
      <c r="A3264" s="1" t="str">
        <f>"85"</f>
        <v>85</v>
      </c>
      <c r="B3264" s="4" t="str">
        <f>"AFM RECYCLAGE SALLERTAINE"</f>
        <v>AFM RECYCLAGE SALLERTAINE</v>
      </c>
      <c r="C3264" s="4">
        <v>383482635</v>
      </c>
      <c r="D3264" s="3" t="s">
        <v>0</v>
      </c>
      <c r="E3264" s="2" t="str">
        <f>"0006306525"</f>
        <v>0006306525</v>
      </c>
      <c r="F3264" s="5">
        <v>43266</v>
      </c>
      <c r="G3264" s="5">
        <v>54789</v>
      </c>
      <c r="H3264" s="4" t="str">
        <f>""</f>
        <v/>
      </c>
      <c r="I3264" s="4" t="str">
        <f>""</f>
        <v/>
      </c>
    </row>
    <row r="3265" spans="1:9" x14ac:dyDescent="0.3">
      <c r="A3265" s="1" t="str">
        <f>"85"</f>
        <v>85</v>
      </c>
      <c r="B3265" s="4" t="str">
        <f>"AFM RECYCLAGE LA ROCHE SUR YON"</f>
        <v>AFM RECYCLAGE LA ROCHE SUR YON</v>
      </c>
      <c r="C3265" s="4">
        <v>383482635</v>
      </c>
      <c r="D3265" s="3" t="s">
        <v>0</v>
      </c>
      <c r="E3265" s="2" t="str">
        <f>"PR850023D"</f>
        <v>PR850023D</v>
      </c>
      <c r="F3265" s="5">
        <v>43718</v>
      </c>
      <c r="G3265" s="5">
        <v>54789</v>
      </c>
      <c r="H3265" s="4" t="str">
        <f>""</f>
        <v/>
      </c>
      <c r="I3265" s="4" t="str">
        <f>""</f>
        <v/>
      </c>
    </row>
    <row r="3266" spans="1:9" x14ac:dyDescent="0.3">
      <c r="A3266" s="1" t="str">
        <f>"85"</f>
        <v>85</v>
      </c>
      <c r="B3266" s="4" t="str">
        <f>"AFM RECYCLAGE LA ROCHE SUR YON"</f>
        <v>AFM RECYCLAGE LA ROCHE SUR YON</v>
      </c>
      <c r="C3266" s="4">
        <v>383482635</v>
      </c>
      <c r="D3266" s="3" t="s">
        <v>0</v>
      </c>
      <c r="E3266" s="2" t="str">
        <f>"0006305867"</f>
        <v>0006305867</v>
      </c>
      <c r="F3266" s="5">
        <v>43718</v>
      </c>
      <c r="G3266" s="5">
        <v>54789</v>
      </c>
      <c r="H3266" s="4" t="str">
        <f>""</f>
        <v/>
      </c>
      <c r="I3266" s="4" t="str">
        <f>""</f>
        <v/>
      </c>
    </row>
    <row r="3267" spans="1:9" x14ac:dyDescent="0.3">
      <c r="A3267" s="1" t="str">
        <f>"85"</f>
        <v>85</v>
      </c>
      <c r="B3267" s="4" t="str">
        <f>"DEMOLITION LUCONNAISE DE VEHICULE"</f>
        <v>DEMOLITION LUCONNAISE DE VEHICULE</v>
      </c>
      <c r="C3267" s="4">
        <v>423394840</v>
      </c>
      <c r="D3267" s="3" t="s">
        <v>0</v>
      </c>
      <c r="E3267" s="2" t="str">
        <f>"PR850006D"</f>
        <v>PR850006D</v>
      </c>
      <c r="F3267" s="5">
        <v>43244</v>
      </c>
      <c r="G3267" s="5">
        <v>54789</v>
      </c>
      <c r="H3267" s="4" t="str">
        <f>""</f>
        <v/>
      </c>
      <c r="I3267" s="4" t="str">
        <f>""</f>
        <v/>
      </c>
    </row>
    <row r="3268" spans="1:9" x14ac:dyDescent="0.3">
      <c r="A3268" s="1" t="str">
        <f>"85"</f>
        <v>85</v>
      </c>
      <c r="B3268" s="4" t="str">
        <f>"DEMOLITION LUCONNAISE DE VEHICULE"</f>
        <v>DEMOLITION LUCONNAISE DE VEHICULE</v>
      </c>
      <c r="C3268" s="4">
        <v>423394840</v>
      </c>
      <c r="D3268" s="3" t="s">
        <v>0</v>
      </c>
      <c r="E3268" s="2" t="str">
        <f>"0006302907"</f>
        <v>0006302907</v>
      </c>
      <c r="F3268" s="5">
        <v>43244</v>
      </c>
      <c r="G3268" s="5">
        <v>54789</v>
      </c>
      <c r="H3268" s="4" t="str">
        <f>""</f>
        <v/>
      </c>
      <c r="I3268" s="4" t="str">
        <f>""</f>
        <v/>
      </c>
    </row>
    <row r="3269" spans="1:9" x14ac:dyDescent="0.3">
      <c r="A3269" s="1" t="str">
        <f>"85"</f>
        <v>85</v>
      </c>
      <c r="B3269" s="4" t="str">
        <f>"COUTAND Récupération et Services"</f>
        <v>COUTAND Récupération et Services</v>
      </c>
      <c r="C3269" s="4">
        <v>441193430</v>
      </c>
      <c r="D3269" s="3" t="s">
        <v>0</v>
      </c>
      <c r="E3269" s="2" t="str">
        <f>"PR8500012D"</f>
        <v>PR8500012D</v>
      </c>
      <c r="F3269" s="5">
        <v>43600</v>
      </c>
      <c r="G3269" s="5">
        <v>54789</v>
      </c>
      <c r="H3269" s="4" t="str">
        <f>""</f>
        <v/>
      </c>
      <c r="I3269" s="4" t="str">
        <f>""</f>
        <v/>
      </c>
    </row>
    <row r="3270" spans="1:9" x14ac:dyDescent="0.3">
      <c r="A3270" s="1" t="str">
        <f>"85"</f>
        <v>85</v>
      </c>
      <c r="B3270" s="4" t="str">
        <f>"COUTAND Récupération et Services"</f>
        <v>COUTAND Récupération et Services</v>
      </c>
      <c r="C3270" s="4">
        <v>441193430</v>
      </c>
      <c r="D3270" s="3" t="s">
        <v>0</v>
      </c>
      <c r="E3270" s="2" t="str">
        <f>"0006303112"</f>
        <v>0006303112</v>
      </c>
      <c r="F3270" s="5">
        <v>43600</v>
      </c>
      <c r="G3270" s="5">
        <v>54789</v>
      </c>
      <c r="H3270" s="4" t="str">
        <f>""</f>
        <v/>
      </c>
      <c r="I3270" s="4" t="str">
        <f>""</f>
        <v/>
      </c>
    </row>
    <row r="3271" spans="1:9" x14ac:dyDescent="0.3">
      <c r="A3271" s="1" t="str">
        <f>"85"</f>
        <v>85</v>
      </c>
      <c r="B3271" s="4" t="str">
        <f>"NOUVELLE STOCK CASS"</f>
        <v>NOUVELLE STOCK CASS</v>
      </c>
      <c r="C3271" s="4">
        <v>479789299</v>
      </c>
      <c r="D3271" s="3" t="s">
        <v>0</v>
      </c>
      <c r="E3271" s="2" t="str">
        <f>"PR8500017D"</f>
        <v>PR8500017D</v>
      </c>
      <c r="F3271" s="5">
        <v>39500</v>
      </c>
      <c r="G3271" s="5">
        <v>54789</v>
      </c>
      <c r="H3271" s="4" t="str">
        <f>""</f>
        <v/>
      </c>
      <c r="I3271" s="4" t="str">
        <f>""</f>
        <v/>
      </c>
    </row>
    <row r="3272" spans="1:9" x14ac:dyDescent="0.3">
      <c r="A3272" s="1" t="str">
        <f>"85"</f>
        <v>85</v>
      </c>
      <c r="B3272" s="4" t="str">
        <f>"NOUVELLE STOCK CASS"</f>
        <v>NOUVELLE STOCK CASS</v>
      </c>
      <c r="C3272" s="4">
        <v>479789299</v>
      </c>
      <c r="D3272" s="3" t="s">
        <v>0</v>
      </c>
      <c r="E3272" s="2" t="str">
        <f>"0006302872"</f>
        <v>0006302872</v>
      </c>
      <c r="F3272" s="5">
        <v>39500</v>
      </c>
      <c r="G3272" s="5">
        <v>54789</v>
      </c>
      <c r="H3272" s="4" t="str">
        <f>""</f>
        <v/>
      </c>
      <c r="I3272" s="4" t="str">
        <f>""</f>
        <v/>
      </c>
    </row>
    <row r="3273" spans="1:9" x14ac:dyDescent="0.3">
      <c r="A3273" s="1" t="str">
        <f>"85"</f>
        <v>85</v>
      </c>
      <c r="B3273" s="4" t="str">
        <f>"CARZAT MATERIELS"</f>
        <v>CARZAT MATERIELS</v>
      </c>
      <c r="C3273" s="4">
        <v>502053507</v>
      </c>
      <c r="D3273" s="3" t="s">
        <v>0</v>
      </c>
      <c r="E3273" s="2" t="str">
        <f>"PR850028D"</f>
        <v>PR850028D</v>
      </c>
      <c r="F3273" s="5">
        <v>43697</v>
      </c>
      <c r="G3273" s="5">
        <v>54789</v>
      </c>
      <c r="H3273" s="4" t="str">
        <f>""</f>
        <v/>
      </c>
      <c r="I3273" s="4" t="str">
        <f>""</f>
        <v/>
      </c>
    </row>
    <row r="3274" spans="1:9" x14ac:dyDescent="0.3">
      <c r="A3274" s="1" t="str">
        <f>"85"</f>
        <v>85</v>
      </c>
      <c r="B3274" s="4" t="str">
        <f>"CARZAT MATERIELS"</f>
        <v>CARZAT MATERIELS</v>
      </c>
      <c r="C3274" s="4">
        <v>502053507</v>
      </c>
      <c r="D3274" s="3" t="s">
        <v>0</v>
      </c>
      <c r="E3274" s="2" t="str">
        <f>"000630660"</f>
        <v>000630660</v>
      </c>
      <c r="F3274" s="5">
        <v>43697</v>
      </c>
      <c r="G3274" s="5">
        <v>54789</v>
      </c>
      <c r="H3274" s="4" t="str">
        <f>""</f>
        <v/>
      </c>
      <c r="I3274" s="4" t="str">
        <f>""</f>
        <v/>
      </c>
    </row>
    <row r="3275" spans="1:9" x14ac:dyDescent="0.3">
      <c r="A3275" s="1" t="str">
        <f>"85"</f>
        <v>85</v>
      </c>
      <c r="B3275" s="4" t="str">
        <f>"BUCHOUL RECYCLAGE"</f>
        <v>BUCHOUL RECYCLAGE</v>
      </c>
      <c r="C3275" s="4">
        <v>519023261</v>
      </c>
      <c r="D3275" s="3" t="s">
        <v>0</v>
      </c>
      <c r="E3275" s="2" t="str">
        <f>"PR8500016D"</f>
        <v>PR8500016D</v>
      </c>
      <c r="F3275" s="5">
        <v>43899</v>
      </c>
      <c r="G3275" s="5">
        <v>54789</v>
      </c>
      <c r="H3275" s="4" t="str">
        <f>""</f>
        <v/>
      </c>
      <c r="I3275" s="4" t="str">
        <f>""</f>
        <v/>
      </c>
    </row>
    <row r="3276" spans="1:9" x14ac:dyDescent="0.3">
      <c r="A3276" s="1" t="str">
        <f>"85"</f>
        <v>85</v>
      </c>
      <c r="B3276" s="4" t="str">
        <f>"BUCHOUL RECYCLAGE"</f>
        <v>BUCHOUL RECYCLAGE</v>
      </c>
      <c r="C3276" s="4">
        <v>519023261</v>
      </c>
      <c r="D3276" s="3" t="s">
        <v>0</v>
      </c>
      <c r="E3276" s="2" t="str">
        <f>"0006303607"</f>
        <v>0006303607</v>
      </c>
      <c r="F3276" s="5">
        <v>43899</v>
      </c>
      <c r="G3276" s="5">
        <v>54789</v>
      </c>
      <c r="H3276" s="4" t="str">
        <f>""</f>
        <v/>
      </c>
      <c r="I3276" s="4" t="str">
        <f>""</f>
        <v/>
      </c>
    </row>
    <row r="3277" spans="1:9" x14ac:dyDescent="0.3">
      <c r="A3277" s="1" t="str">
        <f>"85"</f>
        <v>85</v>
      </c>
      <c r="B3277" s="4" t="str">
        <f>"CAMBOUI RECYCL'AUTO"</f>
        <v>CAMBOUI RECYCL'AUTO</v>
      </c>
      <c r="C3277" s="4">
        <v>532470846</v>
      </c>
      <c r="D3277" s="3" t="s">
        <v>0</v>
      </c>
      <c r="E3277" s="2" t="str">
        <f>"PR850025D"</f>
        <v>PR850025D</v>
      </c>
      <c r="F3277" s="5">
        <v>43223</v>
      </c>
      <c r="G3277" s="5">
        <v>54789</v>
      </c>
      <c r="H3277" s="4" t="str">
        <f>""</f>
        <v/>
      </c>
      <c r="I3277" s="4" t="str">
        <f>""</f>
        <v/>
      </c>
    </row>
    <row r="3278" spans="1:9" x14ac:dyDescent="0.3">
      <c r="A3278" s="1" t="str">
        <f>"85"</f>
        <v>85</v>
      </c>
      <c r="B3278" s="4" t="str">
        <f>"CAMBOUI RECYCL'AUTO"</f>
        <v>CAMBOUI RECYCL'AUTO</v>
      </c>
      <c r="C3278" s="4">
        <v>532470846</v>
      </c>
      <c r="D3278" s="3" t="s">
        <v>0</v>
      </c>
      <c r="E3278" s="2" t="str">
        <f>"0006304471"</f>
        <v>0006304471</v>
      </c>
      <c r="F3278" s="5">
        <v>43223</v>
      </c>
      <c r="G3278" s="5">
        <v>54789</v>
      </c>
      <c r="H3278" s="4" t="str">
        <f>""</f>
        <v/>
      </c>
      <c r="I3278" s="4" t="str">
        <f>""</f>
        <v/>
      </c>
    </row>
    <row r="3279" spans="1:9" x14ac:dyDescent="0.3">
      <c r="A3279" s="1" t="str">
        <f>"85"</f>
        <v>85</v>
      </c>
      <c r="B3279" s="4" t="str">
        <f>"SARL BAUDON-ROUVREAU RECYCLAGE"</f>
        <v>SARL BAUDON-ROUVREAU RECYCLAGE</v>
      </c>
      <c r="C3279" s="4">
        <v>540022878</v>
      </c>
      <c r="D3279" s="3" t="s">
        <v>0</v>
      </c>
      <c r="E3279" s="2" t="str">
        <f>"PR850004D"</f>
        <v>PR850004D</v>
      </c>
      <c r="F3279" s="5">
        <v>43244</v>
      </c>
      <c r="G3279" s="5">
        <v>54789</v>
      </c>
      <c r="H3279" s="4" t="str">
        <f>""</f>
        <v/>
      </c>
      <c r="I3279" s="4" t="str">
        <f>""</f>
        <v/>
      </c>
    </row>
    <row r="3280" spans="1:9" x14ac:dyDescent="0.3">
      <c r="A3280" s="1" t="str">
        <f>"85"</f>
        <v>85</v>
      </c>
      <c r="B3280" s="4" t="str">
        <f>"SARL BAUDON-ROUVREAU RECYCLAGE"</f>
        <v>SARL BAUDON-ROUVREAU RECYCLAGE</v>
      </c>
      <c r="C3280" s="4">
        <v>540022878</v>
      </c>
      <c r="D3280" s="3" t="s">
        <v>0</v>
      </c>
      <c r="E3280" s="2" t="str">
        <f>"0006302944"</f>
        <v>0006302944</v>
      </c>
      <c r="F3280" s="5">
        <v>43244</v>
      </c>
      <c r="G3280" s="5">
        <v>54789</v>
      </c>
      <c r="H3280" s="4" t="str">
        <f>""</f>
        <v/>
      </c>
      <c r="I3280" s="4" t="str">
        <f>""</f>
        <v/>
      </c>
    </row>
    <row r="3281" spans="1:9" x14ac:dyDescent="0.3">
      <c r="A3281" s="1" t="str">
        <f>"85"</f>
        <v>85</v>
      </c>
      <c r="B3281" s="4" t="str">
        <f>"AFM RECYCLAGE SALLERTAINE (ex GDE)"</f>
        <v>AFM RECYCLAGE SALLERTAINE (ex GDE)</v>
      </c>
      <c r="C3281" s="4">
        <v>653820530</v>
      </c>
      <c r="D3281" s="3" t="s">
        <v>0</v>
      </c>
      <c r="E3281" s="2" t="str">
        <f>"PR8500015D"</f>
        <v>PR8500015D</v>
      </c>
      <c r="F3281" s="5">
        <v>43718</v>
      </c>
      <c r="G3281" s="5">
        <v>54789</v>
      </c>
      <c r="H3281" s="4" t="str">
        <f>""</f>
        <v/>
      </c>
      <c r="I3281" s="4" t="str">
        <f>""</f>
        <v/>
      </c>
    </row>
    <row r="3282" spans="1:9" x14ac:dyDescent="0.3">
      <c r="A3282" s="1" t="str">
        <f>"85"</f>
        <v>85</v>
      </c>
      <c r="B3282" s="4" t="str">
        <f>"AFM RECYCLAGE SALLERTAINE (ex GDE)"</f>
        <v>AFM RECYCLAGE SALLERTAINE (ex GDE)</v>
      </c>
      <c r="C3282" s="4">
        <v>653820530</v>
      </c>
      <c r="D3282" s="3" t="s">
        <v>0</v>
      </c>
      <c r="E3282" s="2" t="str">
        <f>"0006301545"</f>
        <v>0006301545</v>
      </c>
      <c r="F3282" s="5">
        <v>43718</v>
      </c>
      <c r="G3282" s="5">
        <v>54789</v>
      </c>
      <c r="H3282" s="4" t="str">
        <f>""</f>
        <v/>
      </c>
      <c r="I3282" s="4" t="str">
        <f>""</f>
        <v/>
      </c>
    </row>
    <row r="3283" spans="1:9" x14ac:dyDescent="0.3">
      <c r="A3283" s="1" t="str">
        <f>"85"</f>
        <v>85</v>
      </c>
      <c r="B3283" s="4" t="str">
        <f>"SARL GRAVOUIL"</f>
        <v>SARL GRAVOUIL</v>
      </c>
      <c r="C3283" s="4">
        <v>753894021</v>
      </c>
      <c r="D3283" s="3" t="s">
        <v>0</v>
      </c>
      <c r="E3283" s="2" t="str">
        <f>"PR8500033D"</f>
        <v>PR8500033D</v>
      </c>
      <c r="F3283" s="5">
        <v>43313</v>
      </c>
      <c r="G3283" s="5">
        <v>54789</v>
      </c>
      <c r="H3283" s="4" t="str">
        <f>""</f>
        <v/>
      </c>
      <c r="I3283" s="4" t="str">
        <f>""</f>
        <v/>
      </c>
    </row>
    <row r="3284" spans="1:9" x14ac:dyDescent="0.3">
      <c r="A3284" s="1" t="str">
        <f>"85"</f>
        <v>85</v>
      </c>
      <c r="B3284" s="4" t="str">
        <f>"SARL GRAVOUIL"</f>
        <v>SARL GRAVOUIL</v>
      </c>
      <c r="C3284" s="4">
        <v>753894021</v>
      </c>
      <c r="D3284" s="3" t="s">
        <v>0</v>
      </c>
      <c r="E3284" s="2" t="str">
        <f>"0006310346"</f>
        <v>0006310346</v>
      </c>
      <c r="F3284" s="5">
        <v>43313</v>
      </c>
      <c r="G3284" s="5">
        <v>54789</v>
      </c>
      <c r="H3284" s="4" t="str">
        <f>""</f>
        <v/>
      </c>
      <c r="I3284" s="4" t="str">
        <f>""</f>
        <v/>
      </c>
    </row>
    <row r="3285" spans="1:9" x14ac:dyDescent="0.3">
      <c r="A3285" s="1" t="str">
        <f>"85"</f>
        <v>85</v>
      </c>
      <c r="B3285" s="4" t="str">
        <f>"AUTOS DECONSTRUCTION RECYCLAGE"</f>
        <v>AUTOS DECONSTRUCTION RECYCLAGE</v>
      </c>
      <c r="C3285" s="4">
        <v>887679918</v>
      </c>
      <c r="D3285" s="3" t="s">
        <v>0</v>
      </c>
      <c r="E3285" s="2" t="str">
        <f>"PR8500034D"</f>
        <v>PR8500034D</v>
      </c>
      <c r="F3285" s="5">
        <v>44221</v>
      </c>
      <c r="G3285" s="5">
        <v>54789</v>
      </c>
      <c r="H3285" s="4" t="str">
        <f>""</f>
        <v/>
      </c>
      <c r="I3285" s="4" t="str">
        <f>""</f>
        <v/>
      </c>
    </row>
    <row r="3286" spans="1:9" x14ac:dyDescent="0.3">
      <c r="A3286" s="1" t="str">
        <f>"85"</f>
        <v>85</v>
      </c>
      <c r="B3286" s="4" t="str">
        <f>"AUTOS DECONSTRUCTION RECYCLAGE"</f>
        <v>AUTOS DECONSTRUCTION RECYCLAGE</v>
      </c>
      <c r="C3286" s="4">
        <v>887679918</v>
      </c>
      <c r="D3286" s="3" t="s">
        <v>0</v>
      </c>
      <c r="E3286" s="2" t="str">
        <f>"0006311379"</f>
        <v>0006311379</v>
      </c>
      <c r="F3286" s="5">
        <v>44221</v>
      </c>
      <c r="G3286" s="5">
        <v>54789</v>
      </c>
      <c r="H3286" s="4" t="str">
        <f>""</f>
        <v/>
      </c>
      <c r="I3286" s="4" t="str">
        <f>""</f>
        <v/>
      </c>
    </row>
    <row r="3287" spans="1:9" x14ac:dyDescent="0.3">
      <c r="A3287" s="1" t="str">
        <f>"85"</f>
        <v>85</v>
      </c>
      <c r="B3287" s="4" t="str">
        <f>"AUTO CASSE"</f>
        <v>AUTO CASSE</v>
      </c>
      <c r="C3287" s="4">
        <v>897397980</v>
      </c>
      <c r="D3287" s="3" t="s">
        <v>0</v>
      </c>
      <c r="E3287" s="2" t="str">
        <f>"PR850029D"</f>
        <v>PR850029D</v>
      </c>
      <c r="F3287" s="5">
        <v>44519</v>
      </c>
      <c r="G3287" s="5">
        <v>54789</v>
      </c>
      <c r="H3287" s="4" t="str">
        <f>""</f>
        <v/>
      </c>
      <c r="I3287" s="4" t="str">
        <f>""</f>
        <v/>
      </c>
    </row>
    <row r="3288" spans="1:9" x14ac:dyDescent="0.3">
      <c r="A3288" s="1" t="str">
        <f>"85"</f>
        <v>85</v>
      </c>
      <c r="B3288" s="4" t="str">
        <f>"AUTO CASSE"</f>
        <v>AUTO CASSE</v>
      </c>
      <c r="C3288" s="4">
        <v>897397980</v>
      </c>
      <c r="D3288" s="3" t="s">
        <v>0</v>
      </c>
      <c r="E3288" s="2" t="str">
        <f>"0006302873"</f>
        <v>0006302873</v>
      </c>
      <c r="F3288" s="5">
        <v>44519</v>
      </c>
      <c r="G3288" s="5">
        <v>54789</v>
      </c>
      <c r="H3288" s="4" t="str">
        <f>""</f>
        <v/>
      </c>
      <c r="I3288" s="4" t="str">
        <f>""</f>
        <v/>
      </c>
    </row>
    <row r="3289" spans="1:9" x14ac:dyDescent="0.3">
      <c r="A3289" s="1" t="str">
        <f>"85"</f>
        <v>85</v>
      </c>
      <c r="B3289" s="4" t="str">
        <f>"CASSE AUTO NADOR"</f>
        <v>CASSE AUTO NADOR</v>
      </c>
      <c r="C3289" s="4">
        <v>941616344</v>
      </c>
      <c r="D3289" s="3" t="s">
        <v>0</v>
      </c>
      <c r="E3289" s="2" t="str">
        <f>"0006302605"</f>
        <v>0006302605</v>
      </c>
      <c r="F3289" s="5">
        <v>45797</v>
      </c>
      <c r="G3289" s="5">
        <v>54789</v>
      </c>
      <c r="H3289" s="4" t="str">
        <f>""</f>
        <v/>
      </c>
      <c r="I3289" s="4" t="str">
        <f>""</f>
        <v/>
      </c>
    </row>
    <row r="3290" spans="1:9" x14ac:dyDescent="0.3">
      <c r="A3290" s="1" t="str">
        <f>"85"</f>
        <v>85</v>
      </c>
      <c r="B3290" s="4" t="str">
        <f>"FIRST NEGOCE METAL"</f>
        <v>FIRST NEGOCE METAL</v>
      </c>
      <c r="C3290" s="4">
        <v>951562362</v>
      </c>
      <c r="D3290" s="3" t="s">
        <v>0</v>
      </c>
      <c r="E3290" s="2" t="str">
        <f>"PR8500035D"</f>
        <v>PR8500035D</v>
      </c>
      <c r="F3290" s="5">
        <v>45603</v>
      </c>
      <c r="G3290" s="5">
        <v>54789</v>
      </c>
      <c r="H3290" s="4" t="str">
        <f>""</f>
        <v/>
      </c>
      <c r="I3290" s="4" t="str">
        <f>""</f>
        <v/>
      </c>
    </row>
    <row r="3291" spans="1:9" x14ac:dyDescent="0.3">
      <c r="A3291" s="1" t="str">
        <f>"85"</f>
        <v>85</v>
      </c>
      <c r="B3291" s="4" t="str">
        <f>"FIRST NEGOCE METAL"</f>
        <v>FIRST NEGOCE METAL</v>
      </c>
      <c r="C3291" s="4">
        <v>951562362</v>
      </c>
      <c r="D3291" s="3" t="s">
        <v>0</v>
      </c>
      <c r="E3291" s="2" t="str">
        <f>"0100032819"</f>
        <v>0100032819</v>
      </c>
      <c r="F3291" s="5">
        <v>45603</v>
      </c>
      <c r="G3291" s="5">
        <v>54789</v>
      </c>
      <c r="H3291" s="4" t="str">
        <f>""</f>
        <v/>
      </c>
      <c r="I3291" s="4" t="str">
        <f>""</f>
        <v/>
      </c>
    </row>
    <row r="3292" spans="1:9" x14ac:dyDescent="0.3">
      <c r="A3292" s="1" t="str">
        <f>"86"</f>
        <v>86</v>
      </c>
      <c r="B3292" s="4" t="str">
        <f>"SOCIETE LOSTIS"</f>
        <v>SOCIETE LOSTIS</v>
      </c>
      <c r="C3292" s="4">
        <v>316016187</v>
      </c>
      <c r="D3292" s="3" t="s">
        <v>0</v>
      </c>
      <c r="E3292" s="2" t="str">
        <f>"PR8600009D"</f>
        <v>PR8600009D</v>
      </c>
      <c r="F3292" s="5">
        <v>39848</v>
      </c>
      <c r="G3292" s="5">
        <v>54789</v>
      </c>
      <c r="H3292" s="4" t="str">
        <f>""</f>
        <v/>
      </c>
      <c r="I3292" s="4" t="str">
        <f>""</f>
        <v/>
      </c>
    </row>
    <row r="3293" spans="1:9" x14ac:dyDescent="0.3">
      <c r="A3293" s="1" t="str">
        <f>"86"</f>
        <v>86</v>
      </c>
      <c r="B3293" s="4" t="str">
        <f>"SOCIETE LOSTIS"</f>
        <v>SOCIETE LOSTIS</v>
      </c>
      <c r="C3293" s="4">
        <v>316016187</v>
      </c>
      <c r="D3293" s="3" t="s">
        <v>0</v>
      </c>
      <c r="E3293" s="2" t="str">
        <f>"PR8600009D"</f>
        <v>PR8600009D</v>
      </c>
      <c r="F3293" s="5">
        <v>41813</v>
      </c>
      <c r="G3293" s="5">
        <v>54789</v>
      </c>
      <c r="H3293" s="4" t="str">
        <f>""</f>
        <v/>
      </c>
      <c r="I3293" s="4" t="str">
        <f>""</f>
        <v/>
      </c>
    </row>
    <row r="3294" spans="1:9" x14ac:dyDescent="0.3">
      <c r="A3294" s="1" t="str">
        <f>"86"</f>
        <v>86</v>
      </c>
      <c r="B3294" s="4" t="str">
        <f>"SOCIETE LOSTIS"</f>
        <v>SOCIETE LOSTIS</v>
      </c>
      <c r="C3294" s="4">
        <v>316016187</v>
      </c>
      <c r="D3294" s="3" t="s">
        <v>0</v>
      </c>
      <c r="E3294" s="2" t="str">
        <f>"0007203141"</f>
        <v>0007203141</v>
      </c>
      <c r="F3294" s="5">
        <v>41829</v>
      </c>
      <c r="G3294" s="5">
        <v>54789</v>
      </c>
      <c r="H3294" s="4" t="str">
        <f>""</f>
        <v/>
      </c>
      <c r="I3294" s="4" t="str">
        <f>""</f>
        <v/>
      </c>
    </row>
    <row r="3295" spans="1:9" x14ac:dyDescent="0.3">
      <c r="A3295" s="1" t="str">
        <f>"86"</f>
        <v>86</v>
      </c>
      <c r="B3295" s="4" t="str">
        <f>"ETS PASCAL BOHAN"</f>
        <v>ETS PASCAL BOHAN</v>
      </c>
      <c r="C3295" s="4">
        <v>326392834</v>
      </c>
      <c r="D3295" s="3" t="s">
        <v>0</v>
      </c>
      <c r="E3295" s="2" t="str">
        <f>"PR8600014D"</f>
        <v>PR8600014D</v>
      </c>
      <c r="F3295" s="5">
        <v>43423</v>
      </c>
      <c r="G3295" s="5">
        <v>54789</v>
      </c>
      <c r="H3295" s="4" t="str">
        <f>""</f>
        <v/>
      </c>
      <c r="I3295" s="4" t="str">
        <f>""</f>
        <v/>
      </c>
    </row>
    <row r="3296" spans="1:9" x14ac:dyDescent="0.3">
      <c r="A3296" s="1" t="str">
        <f>"86"</f>
        <v>86</v>
      </c>
      <c r="B3296" s="4" t="str">
        <f>"ETS PASCAL BOHAN"</f>
        <v>ETS PASCAL BOHAN</v>
      </c>
      <c r="C3296" s="4">
        <v>326392834</v>
      </c>
      <c r="D3296" s="3" t="s">
        <v>0</v>
      </c>
      <c r="E3296" s="2" t="str">
        <f>"0007203085"</f>
        <v>0007203085</v>
      </c>
      <c r="F3296" s="5">
        <v>43423</v>
      </c>
      <c r="G3296" s="5">
        <v>54789</v>
      </c>
      <c r="H3296" s="4" t="str">
        <f>""</f>
        <v/>
      </c>
      <c r="I3296" s="4" t="str">
        <f>""</f>
        <v/>
      </c>
    </row>
    <row r="3297" spans="1:9" x14ac:dyDescent="0.3">
      <c r="A3297" s="1" t="str">
        <f>"86"</f>
        <v>86</v>
      </c>
      <c r="B3297" s="4" t="str">
        <f>"BARCOJ FRANCOIS"</f>
        <v>BARCOJ FRANCOIS</v>
      </c>
      <c r="C3297" s="4">
        <v>340328962</v>
      </c>
      <c r="D3297" s="3" t="s">
        <v>0</v>
      </c>
      <c r="E3297" s="2" t="str">
        <f>"PR8600007D"</f>
        <v>PR8600007D</v>
      </c>
      <c r="F3297" s="5">
        <v>39604</v>
      </c>
      <c r="G3297" s="5">
        <v>54789</v>
      </c>
      <c r="H3297" s="4" t="str">
        <f>""</f>
        <v/>
      </c>
      <c r="I3297" s="4" t="str">
        <f>""</f>
        <v/>
      </c>
    </row>
    <row r="3298" spans="1:9" x14ac:dyDescent="0.3">
      <c r="A3298" s="1" t="str">
        <f>"86"</f>
        <v>86</v>
      </c>
      <c r="B3298" s="4" t="str">
        <f>"SARL AUGUSTIN"</f>
        <v>SARL AUGUSTIN</v>
      </c>
      <c r="C3298" s="4">
        <v>352584072</v>
      </c>
      <c r="D3298" s="3" t="s">
        <v>0</v>
      </c>
      <c r="E3298" s="2" t="str">
        <f>"0007203103"</f>
        <v>0007203103</v>
      </c>
      <c r="F3298" s="5">
        <v>43273</v>
      </c>
      <c r="G3298" s="5">
        <v>54789</v>
      </c>
      <c r="H3298" s="4" t="str">
        <f>""</f>
        <v/>
      </c>
      <c r="I3298" s="4" t="str">
        <f>""</f>
        <v/>
      </c>
    </row>
    <row r="3299" spans="1:9" x14ac:dyDescent="0.3">
      <c r="A3299" s="1" t="str">
        <f>"86"</f>
        <v>86</v>
      </c>
      <c r="B3299" s="4" t="str">
        <f>"SARL AUGUSTIN"</f>
        <v>SARL AUGUSTIN</v>
      </c>
      <c r="C3299" s="4">
        <v>352584072</v>
      </c>
      <c r="D3299" s="3" t="s">
        <v>0</v>
      </c>
      <c r="E3299" s="2" t="str">
        <f>"PR8600004D"</f>
        <v>PR8600004D</v>
      </c>
      <c r="F3299" s="5">
        <v>38985</v>
      </c>
      <c r="G3299" s="5">
        <v>54789</v>
      </c>
      <c r="H3299" s="4" t="str">
        <f>""</f>
        <v/>
      </c>
      <c r="I3299" s="4" t="str">
        <f>""</f>
        <v/>
      </c>
    </row>
    <row r="3300" spans="1:9" x14ac:dyDescent="0.3">
      <c r="A3300" s="1" t="str">
        <f>"86"</f>
        <v>86</v>
      </c>
      <c r="B3300" s="4" t="str">
        <f>"BONNIN SAS"</f>
        <v>BONNIN SAS</v>
      </c>
      <c r="C3300" s="4">
        <v>379728439</v>
      </c>
      <c r="D3300" s="3" t="s">
        <v>0</v>
      </c>
      <c r="E3300" s="2" t="str">
        <f>"PR8600005D"</f>
        <v>PR8600005D</v>
      </c>
      <c r="F3300" s="5">
        <v>38980</v>
      </c>
      <c r="G3300" s="5">
        <v>54789</v>
      </c>
      <c r="H3300" s="4" t="str">
        <f>""</f>
        <v/>
      </c>
      <c r="I3300" s="4" t="str">
        <f>""</f>
        <v/>
      </c>
    </row>
    <row r="3301" spans="1:9" x14ac:dyDescent="0.3">
      <c r="A3301" s="1" t="str">
        <f>"86"</f>
        <v>86</v>
      </c>
      <c r="B3301" s="4" t="str">
        <f>"BONNIN SAS"</f>
        <v>BONNIN SAS</v>
      </c>
      <c r="C3301" s="4">
        <v>379728439</v>
      </c>
      <c r="D3301" s="3" t="s">
        <v>0</v>
      </c>
      <c r="E3301" s="2" t="str">
        <f>"0007203090"</f>
        <v>0007203090</v>
      </c>
      <c r="F3301" s="5">
        <v>43300</v>
      </c>
      <c r="G3301" s="5">
        <v>54789</v>
      </c>
      <c r="H3301" s="4" t="str">
        <f>""</f>
        <v/>
      </c>
      <c r="I3301" s="4" t="str">
        <f>""</f>
        <v/>
      </c>
    </row>
    <row r="3302" spans="1:9" x14ac:dyDescent="0.3">
      <c r="A3302" s="1" t="str">
        <f>"86"</f>
        <v>86</v>
      </c>
      <c r="B3302" s="4" t="str">
        <f>"AFM RECYCLAGE"</f>
        <v>AFM RECYCLAGE</v>
      </c>
      <c r="C3302" s="4">
        <v>383482635</v>
      </c>
      <c r="D3302" s="3" t="s">
        <v>0</v>
      </c>
      <c r="E3302" s="2" t="str">
        <f>"0007201730"</f>
        <v>0007201730</v>
      </c>
      <c r="F3302" s="5">
        <v>43607</v>
      </c>
      <c r="G3302" s="5">
        <v>54789</v>
      </c>
      <c r="H3302" s="4" t="str">
        <f>""</f>
        <v/>
      </c>
      <c r="I3302" s="4" t="str">
        <f>""</f>
        <v/>
      </c>
    </row>
    <row r="3303" spans="1:9" x14ac:dyDescent="0.3">
      <c r="A3303" s="1" t="str">
        <f>"86"</f>
        <v>86</v>
      </c>
      <c r="B3303" s="4" t="str">
        <f>"AFM RECYCLAGE"</f>
        <v>AFM RECYCLAGE</v>
      </c>
      <c r="C3303" s="4">
        <v>383482635</v>
      </c>
      <c r="D3303" s="3" t="s">
        <v>0</v>
      </c>
      <c r="E3303" s="2" t="str">
        <f>"PR8600003D"</f>
        <v>PR8600003D</v>
      </c>
      <c r="F3303" s="5">
        <v>43599</v>
      </c>
      <c r="G3303" s="5">
        <v>54789</v>
      </c>
      <c r="H3303" s="4" t="str">
        <f>""</f>
        <v/>
      </c>
      <c r="I3303" s="4" t="str">
        <f>""</f>
        <v/>
      </c>
    </row>
    <row r="3304" spans="1:9" x14ac:dyDescent="0.3">
      <c r="A3304" s="1" t="str">
        <f>"86"</f>
        <v>86</v>
      </c>
      <c r="B3304" s="4" t="str">
        <f>"AFM RECYCLAGE"</f>
        <v>AFM RECYCLAGE</v>
      </c>
      <c r="C3304" s="4">
        <v>383482635</v>
      </c>
      <c r="D3304" s="3" t="s">
        <v>0</v>
      </c>
      <c r="E3304" s="2" t="str">
        <f>"PR8600006B"</f>
        <v>PR8600006B</v>
      </c>
      <c r="F3304" s="5">
        <v>43599</v>
      </c>
      <c r="G3304" s="5">
        <v>54789</v>
      </c>
      <c r="H3304" s="4" t="str">
        <f>""</f>
        <v/>
      </c>
      <c r="I3304" s="4" t="str">
        <f>""</f>
        <v/>
      </c>
    </row>
    <row r="3305" spans="1:9" x14ac:dyDescent="0.3">
      <c r="A3305" s="1" t="str">
        <f>"86"</f>
        <v>86</v>
      </c>
      <c r="B3305" s="4" t="str">
        <f>"AFM RECYCLAGE"</f>
        <v>AFM RECYCLAGE</v>
      </c>
      <c r="C3305" s="4">
        <v>383482635</v>
      </c>
      <c r="D3305" s="3" t="s">
        <v>0</v>
      </c>
      <c r="E3305" s="2" t="str">
        <f>"PR8600006D"</f>
        <v>PR8600006D</v>
      </c>
      <c r="F3305" s="5">
        <v>43599</v>
      </c>
      <c r="G3305" s="5">
        <v>54789</v>
      </c>
      <c r="H3305" s="4" t="str">
        <f>""</f>
        <v/>
      </c>
      <c r="I3305" s="4" t="str">
        <f>""</f>
        <v/>
      </c>
    </row>
    <row r="3306" spans="1:9" x14ac:dyDescent="0.3">
      <c r="A3306" s="1" t="str">
        <f>"86"</f>
        <v>86</v>
      </c>
      <c r="B3306" s="4" t="str">
        <f>"AFM RECYCLAGE"</f>
        <v>AFM RECYCLAGE</v>
      </c>
      <c r="C3306" s="4">
        <v>383482635</v>
      </c>
      <c r="D3306" s="3" t="s">
        <v>0</v>
      </c>
      <c r="E3306" s="2" t="str">
        <f>"PR8600008D"</f>
        <v>PR8600008D</v>
      </c>
      <c r="F3306" s="5">
        <v>43599</v>
      </c>
      <c r="G3306" s="5">
        <v>54789</v>
      </c>
      <c r="H3306" s="4" t="str">
        <f>""</f>
        <v/>
      </c>
      <c r="I3306" s="4" t="str">
        <f>""</f>
        <v/>
      </c>
    </row>
    <row r="3307" spans="1:9" x14ac:dyDescent="0.3">
      <c r="A3307" s="1" t="str">
        <f>"86"</f>
        <v>86</v>
      </c>
      <c r="B3307" s="4" t="str">
        <f>"AFM RECYCLAGE"</f>
        <v>AFM RECYCLAGE</v>
      </c>
      <c r="C3307" s="4">
        <v>383482635</v>
      </c>
      <c r="D3307" s="3" t="s">
        <v>0</v>
      </c>
      <c r="E3307" s="2" t="str">
        <f>"0007202738"</f>
        <v>0007202738</v>
      </c>
      <c r="F3307" s="5">
        <v>43607</v>
      </c>
      <c r="G3307" s="5">
        <v>54789</v>
      </c>
      <c r="H3307" s="4" t="str">
        <f>""</f>
        <v/>
      </c>
      <c r="I3307" s="4" t="str">
        <f>""</f>
        <v/>
      </c>
    </row>
    <row r="3308" spans="1:9" x14ac:dyDescent="0.3">
      <c r="A3308" s="1" t="str">
        <f>"86"</f>
        <v>86</v>
      </c>
      <c r="B3308" s="4" t="str">
        <f>"AFM RECYCLAGE"</f>
        <v>AFM RECYCLAGE</v>
      </c>
      <c r="C3308" s="4">
        <v>383482635</v>
      </c>
      <c r="D3308" s="3" t="s">
        <v>0</v>
      </c>
      <c r="E3308" s="2" t="str">
        <f>"0007202736"</f>
        <v>0007202736</v>
      </c>
      <c r="F3308" s="5">
        <v>43607</v>
      </c>
      <c r="G3308" s="5">
        <v>54789</v>
      </c>
      <c r="H3308" s="4" t="str">
        <f>""</f>
        <v/>
      </c>
      <c r="I3308" s="4" t="str">
        <f>""</f>
        <v/>
      </c>
    </row>
    <row r="3309" spans="1:9" x14ac:dyDescent="0.3">
      <c r="A3309" s="1" t="str">
        <f>"86"</f>
        <v>86</v>
      </c>
      <c r="B3309" s="4" t="str">
        <f>"SARL CDDA"</f>
        <v>SARL CDDA</v>
      </c>
      <c r="C3309" s="4">
        <v>412965303</v>
      </c>
      <c r="D3309" s="3" t="s">
        <v>0</v>
      </c>
      <c r="E3309" s="2" t="str">
        <f>"0007203100"</f>
        <v>0007203100</v>
      </c>
      <c r="F3309" s="5">
        <v>43403</v>
      </c>
      <c r="G3309" s="5">
        <v>54789</v>
      </c>
      <c r="H3309" s="4" t="str">
        <f>""</f>
        <v/>
      </c>
      <c r="I3309" s="4" t="str">
        <f>""</f>
        <v/>
      </c>
    </row>
    <row r="3310" spans="1:9" x14ac:dyDescent="0.3">
      <c r="A3310" s="1" t="str">
        <f>"86"</f>
        <v>86</v>
      </c>
      <c r="B3310" s="4" t="str">
        <f>"SARL CDDA"</f>
        <v>SARL CDDA</v>
      </c>
      <c r="C3310" s="4">
        <v>412965303</v>
      </c>
      <c r="D3310" s="3" t="s">
        <v>0</v>
      </c>
      <c r="E3310" s="2" t="str">
        <f>"PR8600001D"</f>
        <v>PR8600001D</v>
      </c>
      <c r="F3310" s="5">
        <v>38897</v>
      </c>
      <c r="G3310" s="5">
        <v>54789</v>
      </c>
      <c r="H3310" s="4" t="str">
        <f>""</f>
        <v/>
      </c>
      <c r="I3310" s="4" t="str">
        <f>""</f>
        <v/>
      </c>
    </row>
    <row r="3311" spans="1:9" x14ac:dyDescent="0.3">
      <c r="A3311" s="1" t="str">
        <f>"86"</f>
        <v>86</v>
      </c>
      <c r="B3311" s="4" t="str">
        <f>"SOCIETE BOISSEAU PIECES AUTO"</f>
        <v>SOCIETE BOISSEAU PIECES AUTO</v>
      </c>
      <c r="C3311" s="4">
        <v>418401220</v>
      </c>
      <c r="D3311" s="3" t="s">
        <v>0</v>
      </c>
      <c r="E3311" s="2" t="str">
        <f>"PR8600010D"</f>
        <v>PR8600010D</v>
      </c>
      <c r="F3311" s="5">
        <v>39876</v>
      </c>
      <c r="G3311" s="5">
        <v>54789</v>
      </c>
      <c r="H3311" s="4" t="str">
        <f>""</f>
        <v/>
      </c>
      <c r="I3311" s="4" t="str">
        <f>""</f>
        <v/>
      </c>
    </row>
    <row r="3312" spans="1:9" x14ac:dyDescent="0.3">
      <c r="A3312" s="1" t="str">
        <f>"86"</f>
        <v>86</v>
      </c>
      <c r="B3312" s="4" t="str">
        <f>"SOCIETE BOISSEAU PIECES AUTO"</f>
        <v>SOCIETE BOISSEAU PIECES AUTO</v>
      </c>
      <c r="C3312" s="4">
        <v>418401220</v>
      </c>
      <c r="D3312" s="3" t="s">
        <v>0</v>
      </c>
      <c r="E3312" s="2" t="str">
        <f>"0007203003"</f>
        <v>0007203003</v>
      </c>
      <c r="F3312" s="5">
        <v>42063</v>
      </c>
      <c r="G3312" s="5">
        <v>54789</v>
      </c>
      <c r="H3312" s="4" t="str">
        <f>""</f>
        <v/>
      </c>
      <c r="I3312" s="4" t="str">
        <f>""</f>
        <v/>
      </c>
    </row>
    <row r="3313" spans="1:9" x14ac:dyDescent="0.3">
      <c r="A3313" s="1" t="str">
        <f>"86"</f>
        <v>86</v>
      </c>
      <c r="B3313" s="4" t="str">
        <f>"LE CREUSET AUTOMOBILE"</f>
        <v>LE CREUSET AUTOMOBILE</v>
      </c>
      <c r="C3313" s="4">
        <v>420387565</v>
      </c>
      <c r="D3313" s="3" t="s">
        <v>0</v>
      </c>
      <c r="E3313" s="2" t="str">
        <f>"PR8600013D"</f>
        <v>PR8600013D</v>
      </c>
      <c r="F3313" s="5">
        <v>42706</v>
      </c>
      <c r="G3313" s="5">
        <v>54789</v>
      </c>
      <c r="H3313" s="4" t="str">
        <f>""</f>
        <v/>
      </c>
      <c r="I3313" s="4" t="str">
        <f>""</f>
        <v/>
      </c>
    </row>
    <row r="3314" spans="1:9" x14ac:dyDescent="0.3">
      <c r="A3314" s="1" t="str">
        <f>"86"</f>
        <v>86</v>
      </c>
      <c r="B3314" s="4" t="str">
        <f>"LE CREUSET AUTOMOBILE"</f>
        <v>LE CREUSET AUTOMOBILE</v>
      </c>
      <c r="C3314" s="4">
        <v>420387565</v>
      </c>
      <c r="D3314" s="3" t="s">
        <v>0</v>
      </c>
      <c r="E3314" s="2" t="str">
        <f>"0007211129"</f>
        <v>0007211129</v>
      </c>
      <c r="F3314" s="5">
        <v>42706</v>
      </c>
      <c r="G3314" s="5">
        <v>54789</v>
      </c>
      <c r="H3314" s="4" t="str">
        <f>""</f>
        <v/>
      </c>
      <c r="I3314" s="4" t="str">
        <f>""</f>
        <v/>
      </c>
    </row>
    <row r="3315" spans="1:9" x14ac:dyDescent="0.3">
      <c r="A3315" s="1" t="str">
        <f>"86"</f>
        <v>86</v>
      </c>
      <c r="B3315" s="4" t="str">
        <f>"SOCIETE MOREAU"</f>
        <v>SOCIETE MOREAU</v>
      </c>
      <c r="C3315" s="4">
        <v>484606645</v>
      </c>
      <c r="D3315" s="3" t="s">
        <v>0</v>
      </c>
      <c r="E3315" s="2" t="str">
        <f>"0007203389"</f>
        <v>0007203389</v>
      </c>
      <c r="F3315" s="5">
        <v>43291</v>
      </c>
      <c r="G3315" s="5">
        <v>54789</v>
      </c>
      <c r="H3315" s="4" t="str">
        <f>""</f>
        <v/>
      </c>
      <c r="I3315" s="4" t="str">
        <f>""</f>
        <v/>
      </c>
    </row>
    <row r="3316" spans="1:9" x14ac:dyDescent="0.3">
      <c r="A3316" s="1" t="str">
        <f>"86"</f>
        <v>86</v>
      </c>
      <c r="B3316" s="4" t="str">
        <f>"SOCIETE MOREAU"</f>
        <v>SOCIETE MOREAU</v>
      </c>
      <c r="C3316" s="4">
        <v>484606645</v>
      </c>
      <c r="D3316" s="3" t="s">
        <v>0</v>
      </c>
      <c r="E3316" s="2" t="str">
        <f>"PR8600002D"</f>
        <v>PR8600002D</v>
      </c>
      <c r="F3316" s="5">
        <v>38980</v>
      </c>
      <c r="G3316" s="5">
        <v>54789</v>
      </c>
      <c r="H3316" s="4" t="str">
        <f>""</f>
        <v/>
      </c>
      <c r="I3316" s="4" t="str">
        <f>""</f>
        <v/>
      </c>
    </row>
    <row r="3317" spans="1:9" x14ac:dyDescent="0.3">
      <c r="A3317" s="1" t="str">
        <f>"86"</f>
        <v>86</v>
      </c>
      <c r="B3317" s="4" t="str">
        <f>"METAL FER RECYCLAGE"</f>
        <v>METAL FER RECYCLAGE</v>
      </c>
      <c r="C3317" s="4">
        <v>514797109</v>
      </c>
      <c r="D3317" s="3" t="s">
        <v>0</v>
      </c>
      <c r="E3317" s="2" t="str">
        <f>"PR8600012D"</f>
        <v>PR8600012D</v>
      </c>
      <c r="F3317" s="5">
        <v>40793</v>
      </c>
      <c r="G3317" s="5">
        <v>54789</v>
      </c>
      <c r="H3317" s="4" t="str">
        <f>""</f>
        <v/>
      </c>
      <c r="I3317" s="4" t="str">
        <f>""</f>
        <v/>
      </c>
    </row>
    <row r="3318" spans="1:9" x14ac:dyDescent="0.3">
      <c r="A3318" s="1" t="str">
        <f>"86"</f>
        <v>86</v>
      </c>
      <c r="B3318" s="4" t="str">
        <f>"GUY DAUPHIN ENVIRONNEMENT"</f>
        <v>GUY DAUPHIN ENVIRONNEMENT</v>
      </c>
      <c r="C3318" s="4">
        <v>653820530</v>
      </c>
      <c r="D3318" s="3" t="s">
        <v>0</v>
      </c>
      <c r="E3318" s="2" t="str">
        <f>"PR8500018D"</f>
        <v>PR8500018D</v>
      </c>
      <c r="F3318" s="5">
        <v>41816</v>
      </c>
      <c r="G3318" s="5">
        <v>54789</v>
      </c>
      <c r="H3318" s="4" t="str">
        <f>""</f>
        <v/>
      </c>
      <c r="I3318" s="4" t="str">
        <f>""</f>
        <v/>
      </c>
    </row>
    <row r="3319" spans="1:9" x14ac:dyDescent="0.3">
      <c r="A3319" s="1" t="str">
        <f>"86"</f>
        <v>86</v>
      </c>
      <c r="B3319" s="4" t="str">
        <f>"SOCIETE MENUT"</f>
        <v>SOCIETE MENUT</v>
      </c>
      <c r="C3319" s="4">
        <v>781620059</v>
      </c>
      <c r="D3319" s="3" t="s">
        <v>0</v>
      </c>
      <c r="E3319" s="2" t="str">
        <f>"0007206814"</f>
        <v>0007206814</v>
      </c>
      <c r="F3319" s="5">
        <v>42871</v>
      </c>
      <c r="G3319" s="5">
        <v>54789</v>
      </c>
      <c r="H3319" s="4" t="str">
        <f>""</f>
        <v/>
      </c>
      <c r="I3319" s="4" t="str">
        <f>""</f>
        <v/>
      </c>
    </row>
    <row r="3320" spans="1:9" x14ac:dyDescent="0.3">
      <c r="A3320" s="1" t="str">
        <f>"86"</f>
        <v>86</v>
      </c>
      <c r="B3320" s="4" t="str">
        <f>"SOCIETE MENUT"</f>
        <v>SOCIETE MENUT</v>
      </c>
      <c r="C3320" s="4">
        <v>781620059</v>
      </c>
      <c r="D3320" s="3" t="s">
        <v>0</v>
      </c>
      <c r="E3320" s="2" t="str">
        <f>"PR8600011D"</f>
        <v>PR8600011D</v>
      </c>
      <c r="F3320" s="5">
        <v>40129</v>
      </c>
      <c r="G3320" s="5">
        <v>54789</v>
      </c>
      <c r="H3320" s="4" t="str">
        <f>""</f>
        <v/>
      </c>
      <c r="I3320" s="4" t="str">
        <f>""</f>
        <v/>
      </c>
    </row>
    <row r="3321" spans="1:9" x14ac:dyDescent="0.3">
      <c r="A3321" s="1" t="str">
        <f>"86"</f>
        <v>86</v>
      </c>
      <c r="B3321" s="4" t="str">
        <f>"VALRECY"</f>
        <v>VALRECY</v>
      </c>
      <c r="C3321" s="4">
        <v>802671651</v>
      </c>
      <c r="D3321" s="3" t="s">
        <v>0</v>
      </c>
      <c r="E3321" s="2" t="str">
        <f>"PR8600003D"</f>
        <v>PR8600003D</v>
      </c>
      <c r="F3321" s="5">
        <v>43059</v>
      </c>
      <c r="G3321" s="5">
        <v>54789</v>
      </c>
      <c r="H3321" s="4" t="str">
        <f>""</f>
        <v/>
      </c>
      <c r="I3321" s="4" t="str">
        <f>""</f>
        <v/>
      </c>
    </row>
    <row r="3322" spans="1:9" x14ac:dyDescent="0.3">
      <c r="A3322" s="1" t="str">
        <f>"86"</f>
        <v>86</v>
      </c>
      <c r="B3322" s="4" t="str">
        <f>"VALRECY"</f>
        <v>VALRECY</v>
      </c>
      <c r="C3322" s="4">
        <v>802671651</v>
      </c>
      <c r="D3322" s="3" t="s">
        <v>0</v>
      </c>
      <c r="E3322" s="2" t="str">
        <f>"PR8600006D"</f>
        <v>PR8600006D</v>
      </c>
      <c r="F3322" s="5">
        <v>43059</v>
      </c>
      <c r="G3322" s="5">
        <v>54789</v>
      </c>
      <c r="H3322" s="4" t="str">
        <f>""</f>
        <v/>
      </c>
      <c r="I3322" s="4" t="str">
        <f>""</f>
        <v/>
      </c>
    </row>
    <row r="3323" spans="1:9" x14ac:dyDescent="0.3">
      <c r="A3323" s="1" t="str">
        <f>"87"</f>
        <v>87</v>
      </c>
      <c r="B3323" s="4" t="str">
        <f>"AZUR AUTO"</f>
        <v>AZUR AUTO</v>
      </c>
      <c r="C3323" s="4">
        <v>309880219</v>
      </c>
      <c r="D3323" s="3" t="s">
        <v>0</v>
      </c>
      <c r="E3323" s="2" t="str">
        <f>"PR8700002D"</f>
        <v>PR8700002D</v>
      </c>
      <c r="F3323" s="5">
        <v>43346</v>
      </c>
      <c r="G3323" s="5">
        <v>54789</v>
      </c>
      <c r="H3323" s="4" t="str">
        <f>""</f>
        <v/>
      </c>
      <c r="I3323" s="4" t="str">
        <f>""</f>
        <v/>
      </c>
    </row>
    <row r="3324" spans="1:9" x14ac:dyDescent="0.3">
      <c r="A3324" s="1" t="str">
        <f>"87"</f>
        <v>87</v>
      </c>
      <c r="B3324" s="4" t="str">
        <f>"AZUR AUTO"</f>
        <v>AZUR AUTO</v>
      </c>
      <c r="C3324" s="4">
        <v>309880219</v>
      </c>
      <c r="D3324" s="3" t="s">
        <v>0</v>
      </c>
      <c r="E3324" s="2" t="str">
        <f>"0006000848"</f>
        <v>0006000848</v>
      </c>
      <c r="F3324" s="5">
        <v>43346</v>
      </c>
      <c r="G3324" s="5">
        <v>54789</v>
      </c>
      <c r="H3324" s="4" t="str">
        <f>""</f>
        <v/>
      </c>
      <c r="I3324" s="4" t="str">
        <f>""</f>
        <v/>
      </c>
    </row>
    <row r="3325" spans="1:9" x14ac:dyDescent="0.3">
      <c r="A3325" s="1" t="str">
        <f>"87"</f>
        <v>87</v>
      </c>
      <c r="B3325" s="4" t="str">
        <f>"SUEZ RV CHARENTE LIMOUSIN"</f>
        <v>SUEZ RV CHARENTE LIMOUSIN</v>
      </c>
      <c r="C3325" s="4">
        <v>316099993</v>
      </c>
      <c r="D3325" s="3" t="s">
        <v>0</v>
      </c>
      <c r="E3325" s="2" t="str">
        <f>"PR8700009D"</f>
        <v>PR8700009D</v>
      </c>
      <c r="F3325" s="5">
        <v>44050</v>
      </c>
      <c r="G3325" s="5">
        <v>54789</v>
      </c>
      <c r="H3325" s="4" t="str">
        <f>""</f>
        <v/>
      </c>
      <c r="I3325" s="4" t="str">
        <f>""</f>
        <v/>
      </c>
    </row>
    <row r="3326" spans="1:9" x14ac:dyDescent="0.3">
      <c r="A3326" s="1" t="str">
        <f>"87"</f>
        <v>87</v>
      </c>
      <c r="B3326" s="4" t="str">
        <f>"SUEZ RV CHARENTE LIMOUSIN"</f>
        <v>SUEZ RV CHARENTE LIMOUSIN</v>
      </c>
      <c r="C3326" s="4">
        <v>316099993</v>
      </c>
      <c r="D3326" s="3" t="s">
        <v>0</v>
      </c>
      <c r="E3326" s="2" t="str">
        <f>"0006002214"</f>
        <v>0006002214</v>
      </c>
      <c r="F3326" s="5">
        <v>44050</v>
      </c>
      <c r="G3326" s="5">
        <v>54789</v>
      </c>
      <c r="H3326" s="4" t="str">
        <f>""</f>
        <v/>
      </c>
      <c r="I3326" s="4" t="str">
        <f>""</f>
        <v/>
      </c>
    </row>
    <row r="3327" spans="1:9" x14ac:dyDescent="0.3">
      <c r="A3327" s="1" t="str">
        <f>"87"</f>
        <v>87</v>
      </c>
      <c r="B3327" s="4" t="str">
        <f>"YASSA Saïd (AUTO CASSE 87)"</f>
        <v>YASSA Saïd (AUTO CASSE 87)</v>
      </c>
      <c r="C3327" s="4">
        <v>330974643</v>
      </c>
      <c r="D3327" s="3" t="s">
        <v>0</v>
      </c>
      <c r="E3327" s="2" t="str">
        <f>"PR87000016D"</f>
        <v>PR87000016D</v>
      </c>
      <c r="F3327" s="5">
        <v>41857</v>
      </c>
      <c r="G3327" s="5">
        <v>54789</v>
      </c>
      <c r="H3327" s="4" t="str">
        <f>"YASSA"</f>
        <v>YASSA</v>
      </c>
      <c r="I3327" s="4" t="str">
        <f>"Saïd"</f>
        <v>Saïd</v>
      </c>
    </row>
    <row r="3328" spans="1:9" x14ac:dyDescent="0.3">
      <c r="A3328" s="1" t="str">
        <f>"87"</f>
        <v>87</v>
      </c>
      <c r="B3328" s="4" t="str">
        <f>"YASSA Saïd (AUTO CASSE 87)"</f>
        <v>YASSA Saïd (AUTO CASSE 87)</v>
      </c>
      <c r="C3328" s="4">
        <v>330974643</v>
      </c>
      <c r="D3328" s="3" t="s">
        <v>0</v>
      </c>
      <c r="E3328" s="2" t="str">
        <f>"0006002174"</f>
        <v>0006002174</v>
      </c>
      <c r="F3328" s="5">
        <v>41857</v>
      </c>
      <c r="G3328" s="5">
        <v>54789</v>
      </c>
      <c r="H3328" s="4" t="str">
        <f>""</f>
        <v/>
      </c>
      <c r="I3328" s="4" t="str">
        <f>""</f>
        <v/>
      </c>
    </row>
    <row r="3329" spans="1:9" x14ac:dyDescent="0.3">
      <c r="A3329" s="1" t="str">
        <f>"87"</f>
        <v>87</v>
      </c>
      <c r="B3329" s="4" t="str">
        <f>"Centre Europe Atlantique Poids Lourds (CEAPL)"</f>
        <v>Centre Europe Atlantique Poids Lourds (CEAPL)</v>
      </c>
      <c r="C3329" s="4">
        <v>384653697</v>
      </c>
      <c r="D3329" s="3" t="s">
        <v>0</v>
      </c>
      <c r="E3329" s="2" t="str">
        <f>"PR87000018D"</f>
        <v>PR87000018D</v>
      </c>
      <c r="F3329" s="5">
        <v>44138</v>
      </c>
      <c r="G3329" s="5">
        <v>54789</v>
      </c>
      <c r="H3329" s="4" t="str">
        <f>""</f>
        <v/>
      </c>
      <c r="I3329" s="4" t="str">
        <f>""</f>
        <v/>
      </c>
    </row>
    <row r="3330" spans="1:9" x14ac:dyDescent="0.3">
      <c r="A3330" s="1" t="str">
        <f>"87"</f>
        <v>87</v>
      </c>
      <c r="B3330" s="4" t="str">
        <f>"Centre Europe Atlantique Poids Lourds (CEAPL)"</f>
        <v>Centre Europe Atlantique Poids Lourds (CEAPL)</v>
      </c>
      <c r="C3330" s="4">
        <v>384653697</v>
      </c>
      <c r="D3330" s="3" t="s">
        <v>0</v>
      </c>
      <c r="E3330" s="2" t="str">
        <f>"0003105616"</f>
        <v>0003105616</v>
      </c>
      <c r="F3330" s="5">
        <v>44138</v>
      </c>
      <c r="G3330" s="5">
        <v>54789</v>
      </c>
      <c r="H3330" s="4" t="str">
        <f>""</f>
        <v/>
      </c>
      <c r="I3330" s="4" t="str">
        <f>""</f>
        <v/>
      </c>
    </row>
    <row r="3331" spans="1:9" x14ac:dyDescent="0.3">
      <c r="A3331" s="1" t="str">
        <f>"87"</f>
        <v>87</v>
      </c>
      <c r="B3331" s="4" t="str">
        <f>"JUPITER AUTOMOBILES"</f>
        <v>JUPITER AUTOMOBILES</v>
      </c>
      <c r="C3331" s="4">
        <v>394993018</v>
      </c>
      <c r="D3331" s="3" t="s">
        <v>0</v>
      </c>
      <c r="E3331" s="2" t="str">
        <f>"PR8700001D"</f>
        <v>PR8700001D</v>
      </c>
      <c r="F3331" s="5">
        <v>43171</v>
      </c>
      <c r="G3331" s="5">
        <v>54789</v>
      </c>
      <c r="H3331" s="4" t="str">
        <f>""</f>
        <v/>
      </c>
      <c r="I3331" s="4" t="str">
        <f>""</f>
        <v/>
      </c>
    </row>
    <row r="3332" spans="1:9" x14ac:dyDescent="0.3">
      <c r="A3332" s="1" t="str">
        <f>"87"</f>
        <v>87</v>
      </c>
      <c r="B3332" s="4" t="str">
        <f>"JUPITER AUTOMOBILES"</f>
        <v>JUPITER AUTOMOBILES</v>
      </c>
      <c r="C3332" s="4">
        <v>394993018</v>
      </c>
      <c r="D3332" s="3" t="s">
        <v>0</v>
      </c>
      <c r="E3332" s="2" t="str">
        <f>"0006001107"</f>
        <v>0006001107</v>
      </c>
      <c r="F3332" s="5">
        <v>43171</v>
      </c>
      <c r="G3332" s="5">
        <v>54789</v>
      </c>
      <c r="H3332" s="4" t="str">
        <f>""</f>
        <v/>
      </c>
      <c r="I3332" s="4" t="str">
        <f>""</f>
        <v/>
      </c>
    </row>
    <row r="3333" spans="1:9" x14ac:dyDescent="0.3">
      <c r="A3333" s="1" t="str">
        <f>"87"</f>
        <v>87</v>
      </c>
      <c r="B3333" s="4" t="str">
        <f>"Patier Pièces Détachées Automobiles (PPDA)"</f>
        <v>Patier Pièces Détachées Automobiles (PPDA)</v>
      </c>
      <c r="C3333" s="4">
        <v>397830449</v>
      </c>
      <c r="D3333" s="3" t="s">
        <v>0</v>
      </c>
      <c r="E3333" s="2" t="str">
        <f>"0006000853"</f>
        <v>0006000853</v>
      </c>
      <c r="F3333" s="5">
        <v>41439</v>
      </c>
      <c r="G3333" s="5">
        <v>54789</v>
      </c>
      <c r="H3333" s="4" t="str">
        <f>""</f>
        <v/>
      </c>
      <c r="I3333" s="4" t="str">
        <f>""</f>
        <v/>
      </c>
    </row>
    <row r="3334" spans="1:9" x14ac:dyDescent="0.3">
      <c r="A3334" s="1" t="str">
        <f>"87"</f>
        <v>87</v>
      </c>
      <c r="B3334" s="4" t="str">
        <f>"HENAULT 87 (Oradour-sur-Glane)"</f>
        <v>HENAULT 87 (Oradour-sur-Glane)</v>
      </c>
      <c r="C3334" s="4">
        <v>410566699</v>
      </c>
      <c r="D3334" s="3" t="s">
        <v>0</v>
      </c>
      <c r="E3334" s="2" t="str">
        <f>"PR8700005D"</f>
        <v>PR8700005D</v>
      </c>
      <c r="F3334" s="5">
        <v>43741</v>
      </c>
      <c r="G3334" s="5">
        <v>54789</v>
      </c>
      <c r="H3334" s="4" t="str">
        <f>""</f>
        <v/>
      </c>
      <c r="I3334" s="4" t="str">
        <f>""</f>
        <v/>
      </c>
    </row>
    <row r="3335" spans="1:9" x14ac:dyDescent="0.3">
      <c r="A3335" s="1" t="str">
        <f>"87"</f>
        <v>87</v>
      </c>
      <c r="B3335" s="4" t="str">
        <f>"HENAULT 87 (Oradour-sur-Glane)"</f>
        <v>HENAULT 87 (Oradour-sur-Glane)</v>
      </c>
      <c r="C3335" s="4">
        <v>410566699</v>
      </c>
      <c r="D3335" s="3" t="s">
        <v>0</v>
      </c>
      <c r="E3335" s="2" t="str">
        <f>"0006001467"</f>
        <v>0006001467</v>
      </c>
      <c r="F3335" s="5">
        <v>43741</v>
      </c>
      <c r="G3335" s="5">
        <v>54789</v>
      </c>
      <c r="H3335" s="4" t="str">
        <f>""</f>
        <v/>
      </c>
      <c r="I3335" s="4" t="str">
        <f>""</f>
        <v/>
      </c>
    </row>
    <row r="3336" spans="1:9" x14ac:dyDescent="0.3">
      <c r="A3336" s="1" t="str">
        <f>"87"</f>
        <v>87</v>
      </c>
      <c r="B3336" s="4" t="str">
        <f>"HENAULT 87 (Limoges)"</f>
        <v>HENAULT 87 (Limoges)</v>
      </c>
      <c r="C3336" s="4">
        <v>410566699</v>
      </c>
      <c r="D3336" s="3" t="s">
        <v>0</v>
      </c>
      <c r="E3336" s="2" t="str">
        <f>"PR87000013D"</f>
        <v>PR87000013D</v>
      </c>
      <c r="F3336" s="5">
        <v>42508</v>
      </c>
      <c r="G3336" s="5">
        <v>54789</v>
      </c>
      <c r="H3336" s="4" t="str">
        <f>""</f>
        <v/>
      </c>
      <c r="I3336" s="4" t="str">
        <f>""</f>
        <v/>
      </c>
    </row>
    <row r="3337" spans="1:9" x14ac:dyDescent="0.3">
      <c r="A3337" s="1" t="str">
        <f>"87"</f>
        <v>87</v>
      </c>
      <c r="B3337" s="4" t="str">
        <f>"HENAULT 87 (Limoges)"</f>
        <v>HENAULT 87 (Limoges)</v>
      </c>
      <c r="C3337" s="4">
        <v>410566699</v>
      </c>
      <c r="D3337" s="3" t="s">
        <v>0</v>
      </c>
      <c r="E3337" s="2" t="str">
        <f>"0006002138"</f>
        <v>0006002138</v>
      </c>
      <c r="F3337" s="5">
        <v>42508</v>
      </c>
      <c r="G3337" s="5">
        <v>54789</v>
      </c>
      <c r="H3337" s="4" t="str">
        <f>""</f>
        <v/>
      </c>
      <c r="I3337" s="4" t="str">
        <f>""</f>
        <v/>
      </c>
    </row>
    <row r="3338" spans="1:9" x14ac:dyDescent="0.3">
      <c r="A3338" s="1" t="str">
        <f>"87"</f>
        <v>87</v>
      </c>
      <c r="B3338" s="4" t="str">
        <f>"SOC INDUSTRIELLE RECUP METAUX (SIRMET)"</f>
        <v>SOC INDUSTRIELLE RECUP METAUX (SIRMET)</v>
      </c>
      <c r="C3338" s="4">
        <v>432383321</v>
      </c>
      <c r="D3338" s="3" t="s">
        <v>0</v>
      </c>
      <c r="E3338" s="2" t="str">
        <f>"PR87000019D"</f>
        <v>PR87000019D</v>
      </c>
      <c r="F3338" s="5">
        <v>44481</v>
      </c>
      <c r="G3338" s="5">
        <v>54789</v>
      </c>
      <c r="H3338" s="4" t="str">
        <f>""</f>
        <v/>
      </c>
      <c r="I3338" s="4" t="str">
        <f>""</f>
        <v/>
      </c>
    </row>
    <row r="3339" spans="1:9" x14ac:dyDescent="0.3">
      <c r="A3339" s="1" t="str">
        <f>"87"</f>
        <v>87</v>
      </c>
      <c r="B3339" s="4" t="str">
        <f>"SOC INDUSTRIELLE RECUP METAUX (SIRMET)"</f>
        <v>SOC INDUSTRIELLE RECUP METAUX (SIRMET)</v>
      </c>
      <c r="C3339" s="4">
        <v>432383321</v>
      </c>
      <c r="D3339" s="3" t="s">
        <v>0</v>
      </c>
      <c r="E3339" s="2" t="str">
        <f>"0003105443"</f>
        <v>0003105443</v>
      </c>
      <c r="F3339" s="5">
        <v>44481</v>
      </c>
      <c r="G3339" s="5">
        <v>54789</v>
      </c>
      <c r="H3339" s="4" t="str">
        <f>""</f>
        <v/>
      </c>
      <c r="I3339" s="4" t="str">
        <f>""</f>
        <v/>
      </c>
    </row>
    <row r="3340" spans="1:9" x14ac:dyDescent="0.3">
      <c r="A3340" s="1" t="str">
        <f>"87"</f>
        <v>87</v>
      </c>
      <c r="B3340" s="4" t="str">
        <f>"Centre de Recyclage d'Automobiles du Limousin (CRAL)"</f>
        <v>Centre de Recyclage d'Automobiles du Limousin (CRAL)</v>
      </c>
      <c r="C3340" s="4">
        <v>513355503</v>
      </c>
      <c r="D3340" s="3" t="s">
        <v>0</v>
      </c>
      <c r="E3340" s="2" t="str">
        <f>"PR87000015D"</f>
        <v>PR87000015D</v>
      </c>
      <c r="F3340" s="5">
        <v>41808</v>
      </c>
      <c r="G3340" s="5">
        <v>54789</v>
      </c>
      <c r="H3340" s="4" t="str">
        <f>""</f>
        <v/>
      </c>
      <c r="I3340" s="4" t="str">
        <f>""</f>
        <v/>
      </c>
    </row>
    <row r="3341" spans="1:9" x14ac:dyDescent="0.3">
      <c r="A3341" s="1" t="str">
        <f>"87"</f>
        <v>87</v>
      </c>
      <c r="B3341" s="4" t="str">
        <f>"Centre de Recyclage d'Automobiles du Limousin (CRAL)"</f>
        <v>Centre de Recyclage d'Automobiles du Limousin (CRAL)</v>
      </c>
      <c r="C3341" s="4">
        <v>513355503</v>
      </c>
      <c r="D3341" s="3" t="s">
        <v>0</v>
      </c>
      <c r="E3341" s="2" t="str">
        <f>"0006003751"</f>
        <v>0006003751</v>
      </c>
      <c r="F3341" s="5">
        <v>41808</v>
      </c>
      <c r="G3341" s="5">
        <v>54789</v>
      </c>
      <c r="H3341" s="4" t="str">
        <f>""</f>
        <v/>
      </c>
      <c r="I3341" s="4" t="str">
        <f>""</f>
        <v/>
      </c>
    </row>
    <row r="3342" spans="1:9" x14ac:dyDescent="0.3">
      <c r="A3342" s="1" t="str">
        <f>"87"</f>
        <v>87</v>
      </c>
      <c r="B3342" s="4" t="str">
        <f>"GIMENEZ Yvonne (CASSE AUTO 87 BELLEGARDE)"</f>
        <v>GIMENEZ Yvonne (CASSE AUTO 87 BELLEGARDE)</v>
      </c>
      <c r="C3342" s="4">
        <v>932546401</v>
      </c>
      <c r="D3342" s="3" t="s">
        <v>0</v>
      </c>
      <c r="E3342" s="2" t="str">
        <f>"PR8700004D"</f>
        <v>PR8700004D</v>
      </c>
      <c r="F3342" s="5">
        <v>43679</v>
      </c>
      <c r="G3342" s="5">
        <v>54789</v>
      </c>
      <c r="H3342" s="4" t="str">
        <f>"GIMENEZ"</f>
        <v>GIMENEZ</v>
      </c>
      <c r="I3342" s="4" t="str">
        <f>"Yvonne"</f>
        <v>Yvonne</v>
      </c>
    </row>
    <row r="3343" spans="1:9" x14ac:dyDescent="0.3">
      <c r="A3343" s="1" t="str">
        <f>"87"</f>
        <v>87</v>
      </c>
      <c r="B3343" s="4" t="str">
        <f>"GIMENEZ Yvonne (CASSE AUTO 87 BELLEGARDE)"</f>
        <v>GIMENEZ Yvonne (CASSE AUTO 87 BELLEGARDE)</v>
      </c>
      <c r="C3343" s="4">
        <v>932546401</v>
      </c>
      <c r="D3343" s="3" t="s">
        <v>0</v>
      </c>
      <c r="E3343" s="2" t="str">
        <f>"0006000928"</f>
        <v>0006000928</v>
      </c>
      <c r="F3343" s="5">
        <v>43679</v>
      </c>
      <c r="G3343" s="5">
        <v>54789</v>
      </c>
      <c r="H3343" s="4" t="str">
        <f>""</f>
        <v/>
      </c>
      <c r="I3343" s="4" t="str">
        <f>""</f>
        <v/>
      </c>
    </row>
    <row r="3344" spans="1:9" x14ac:dyDescent="0.3">
      <c r="A3344" s="1" t="str">
        <f>"87"</f>
        <v>87</v>
      </c>
      <c r="B3344" s="4" t="str">
        <f>"HENAULT Pièces Auto (Bonnac-la-Côte)"</f>
        <v>HENAULT Pièces Auto (Bonnac-la-Côte)</v>
      </c>
      <c r="C3344" s="4">
        <v>943440941</v>
      </c>
      <c r="D3344" s="3" t="s">
        <v>0</v>
      </c>
      <c r="E3344" s="2" t="str">
        <f>"PR8700006D"</f>
        <v>PR8700006D</v>
      </c>
      <c r="F3344" s="5">
        <v>45901</v>
      </c>
      <c r="G3344" s="5">
        <v>54789</v>
      </c>
      <c r="H3344" s="4" t="str">
        <f>""</f>
        <v/>
      </c>
      <c r="I3344" s="4" t="str">
        <f>""</f>
        <v/>
      </c>
    </row>
    <row r="3345" spans="1:9" x14ac:dyDescent="0.3">
      <c r="A3345" s="1" t="str">
        <f>"87"</f>
        <v>87</v>
      </c>
      <c r="B3345" s="4" t="str">
        <f>"HENAULT Pièces Auto (Bonnac-la-Côte)"</f>
        <v>HENAULT Pièces Auto (Bonnac-la-Côte)</v>
      </c>
      <c r="C3345" s="4">
        <v>943440941</v>
      </c>
      <c r="D3345" s="3" t="s">
        <v>0</v>
      </c>
      <c r="E3345" s="2" t="str">
        <f>"0006000686"</f>
        <v>0006000686</v>
      </c>
      <c r="F3345" s="5">
        <v>45901</v>
      </c>
      <c r="G3345" s="5">
        <v>54789</v>
      </c>
      <c r="H3345" s="4" t="str">
        <f>""</f>
        <v/>
      </c>
      <c r="I3345" s="4" t="str">
        <f>""</f>
        <v/>
      </c>
    </row>
    <row r="3346" spans="1:9" x14ac:dyDescent="0.3">
      <c r="A3346" s="1" t="str">
        <f>"88"</f>
        <v>88</v>
      </c>
      <c r="B3346" s="4" t="str">
        <f>"VOSGES OCCAS'"</f>
        <v>VOSGES OCCAS'</v>
      </c>
      <c r="C3346" s="4">
        <v>322046780</v>
      </c>
      <c r="D3346" s="3" t="s">
        <v>0</v>
      </c>
      <c r="E3346" s="2" t="str">
        <f>"PR8800001D"</f>
        <v>PR8800001D</v>
      </c>
      <c r="F3346" s="5">
        <v>38757</v>
      </c>
      <c r="G3346" s="5">
        <v>54789</v>
      </c>
      <c r="H3346" s="4" t="str">
        <f>""</f>
        <v/>
      </c>
      <c r="I3346" s="4" t="str">
        <f>""</f>
        <v/>
      </c>
    </row>
    <row r="3347" spans="1:9" x14ac:dyDescent="0.3">
      <c r="A3347" s="1" t="str">
        <f>"88"</f>
        <v>88</v>
      </c>
      <c r="B3347" s="4" t="str">
        <f>"VOSGES OCCAS'"</f>
        <v>VOSGES OCCAS'</v>
      </c>
      <c r="C3347" s="4">
        <v>322046780</v>
      </c>
      <c r="D3347" s="3" t="s">
        <v>0</v>
      </c>
      <c r="E3347" s="2" t="str">
        <f>"PR8800001D"</f>
        <v>PR8800001D</v>
      </c>
      <c r="F3347" s="5">
        <v>43185</v>
      </c>
      <c r="G3347" s="5">
        <v>54789</v>
      </c>
      <c r="H3347" s="4" t="str">
        <f>""</f>
        <v/>
      </c>
      <c r="I3347" s="4" t="str">
        <f>""</f>
        <v/>
      </c>
    </row>
    <row r="3348" spans="1:9" x14ac:dyDescent="0.3">
      <c r="A3348" s="1" t="str">
        <f>"88"</f>
        <v>88</v>
      </c>
      <c r="B3348" s="4" t="str">
        <f>"VOSGES OCCAS'"</f>
        <v>VOSGES OCCAS'</v>
      </c>
      <c r="C3348" s="4">
        <v>322046780</v>
      </c>
      <c r="D3348" s="3" t="s">
        <v>0</v>
      </c>
      <c r="E3348" s="2" t="str">
        <f>"0006202382"</f>
        <v>0006202382</v>
      </c>
      <c r="F3348" s="5">
        <v>43185</v>
      </c>
      <c r="G3348" s="5">
        <v>54789</v>
      </c>
      <c r="H3348" s="4" t="str">
        <f>""</f>
        <v/>
      </c>
      <c r="I3348" s="4" t="str">
        <f>""</f>
        <v/>
      </c>
    </row>
    <row r="3349" spans="1:9" x14ac:dyDescent="0.3">
      <c r="A3349" s="1" t="str">
        <f>"88"</f>
        <v>88</v>
      </c>
      <c r="B3349" s="4" t="str">
        <f>"PRUNNOT DENIS"</f>
        <v>PRUNNOT DENIS</v>
      </c>
      <c r="C3349" s="4">
        <v>343791182</v>
      </c>
      <c r="D3349" s="3" t="s">
        <v>0</v>
      </c>
      <c r="E3349" s="2" t="str">
        <f>"0006202518"</f>
        <v>0006202518</v>
      </c>
      <c r="F3349" s="5">
        <v>38953</v>
      </c>
      <c r="G3349" s="5">
        <v>54789</v>
      </c>
      <c r="H3349" s="4" t="str">
        <f>""</f>
        <v/>
      </c>
      <c r="I3349" s="4" t="str">
        <f>""</f>
        <v/>
      </c>
    </row>
    <row r="3350" spans="1:9" x14ac:dyDescent="0.3">
      <c r="A3350" s="1" t="str">
        <f>"88"</f>
        <v>88</v>
      </c>
      <c r="B3350" s="4" t="str">
        <f>"PRUNNOT DENIS"</f>
        <v>PRUNNOT DENIS</v>
      </c>
      <c r="C3350" s="4">
        <v>343791182</v>
      </c>
      <c r="D3350" s="3" t="s">
        <v>0</v>
      </c>
      <c r="E3350" s="2" t="str">
        <f>"PR8800014D"</f>
        <v>PR8800014D</v>
      </c>
      <c r="F3350" s="5">
        <v>38953</v>
      </c>
      <c r="G3350" s="5">
        <v>54789</v>
      </c>
      <c r="H3350" s="4" t="str">
        <f>""</f>
        <v/>
      </c>
      <c r="I3350" s="4" t="str">
        <f>""</f>
        <v/>
      </c>
    </row>
    <row r="3351" spans="1:9" x14ac:dyDescent="0.3">
      <c r="A3351" s="1" t="str">
        <f>"88"</f>
        <v>88</v>
      </c>
      <c r="B3351" s="4" t="str">
        <f>"AUTO CASSE CHANEL"</f>
        <v>AUTO CASSE CHANEL</v>
      </c>
      <c r="C3351" s="4">
        <v>348794918</v>
      </c>
      <c r="D3351" s="3" t="s">
        <v>0</v>
      </c>
      <c r="E3351" s="2" t="str">
        <f>"0006206264"</f>
        <v>0006206264</v>
      </c>
      <c r="F3351" s="5">
        <v>38888</v>
      </c>
      <c r="G3351" s="5">
        <v>54789</v>
      </c>
      <c r="H3351" s="4" t="str">
        <f>""</f>
        <v/>
      </c>
      <c r="I3351" s="4" t="str">
        <f>""</f>
        <v/>
      </c>
    </row>
    <row r="3352" spans="1:9" x14ac:dyDescent="0.3">
      <c r="A3352" s="1" t="str">
        <f>"88"</f>
        <v>88</v>
      </c>
      <c r="B3352" s="4" t="str">
        <f>"AUTO CASSE CHANEL"</f>
        <v>AUTO CASSE CHANEL</v>
      </c>
      <c r="C3352" s="4">
        <v>348794918</v>
      </c>
      <c r="D3352" s="3" t="s">
        <v>0</v>
      </c>
      <c r="E3352" s="2" t="str">
        <f>"PR8800005D"</f>
        <v>PR8800005D</v>
      </c>
      <c r="F3352" s="5">
        <v>38888</v>
      </c>
      <c r="G3352" s="5">
        <v>54789</v>
      </c>
      <c r="H3352" s="4" t="str">
        <f>""</f>
        <v/>
      </c>
      <c r="I3352" s="4" t="str">
        <f>""</f>
        <v/>
      </c>
    </row>
    <row r="3353" spans="1:9" x14ac:dyDescent="0.3">
      <c r="A3353" s="1" t="str">
        <f>"88"</f>
        <v>88</v>
      </c>
      <c r="B3353" s="4" t="str">
        <f>"RECUPFER"</f>
        <v>RECUPFER</v>
      </c>
      <c r="C3353" s="4">
        <v>351896394</v>
      </c>
      <c r="D3353" s="3" t="s">
        <v>0</v>
      </c>
      <c r="E3353" s="2" t="str">
        <f>"0006202094"</f>
        <v>0006202094</v>
      </c>
      <c r="F3353" s="5">
        <v>43347</v>
      </c>
      <c r="G3353" s="5">
        <v>54789</v>
      </c>
      <c r="H3353" s="4" t="str">
        <f>""</f>
        <v/>
      </c>
      <c r="I3353" s="4" t="str">
        <f>""</f>
        <v/>
      </c>
    </row>
    <row r="3354" spans="1:9" x14ac:dyDescent="0.3">
      <c r="A3354" s="1" t="str">
        <f>"88"</f>
        <v>88</v>
      </c>
      <c r="B3354" s="4" t="str">
        <f>"RECUPFER"</f>
        <v>RECUPFER</v>
      </c>
      <c r="C3354" s="4">
        <v>351896394</v>
      </c>
      <c r="D3354" s="3" t="s">
        <v>0</v>
      </c>
      <c r="E3354" s="2" t="str">
        <f>"PR8800012B"</f>
        <v>PR8800012B</v>
      </c>
      <c r="F3354" s="5">
        <v>43347</v>
      </c>
      <c r="G3354" s="5">
        <v>54789</v>
      </c>
      <c r="H3354" s="4" t="str">
        <f>""</f>
        <v/>
      </c>
      <c r="I3354" s="4" t="str">
        <f>""</f>
        <v/>
      </c>
    </row>
    <row r="3355" spans="1:9" x14ac:dyDescent="0.3">
      <c r="A3355" s="1" t="str">
        <f>"88"</f>
        <v>88</v>
      </c>
      <c r="B3355" s="4" t="str">
        <f>"SIMONIN AUTO CASSE SARL"</f>
        <v>SIMONIN AUTO CASSE SARL</v>
      </c>
      <c r="C3355" s="4">
        <v>352431084</v>
      </c>
      <c r="D3355" s="3" t="s">
        <v>0</v>
      </c>
      <c r="E3355" s="2" t="str">
        <f>"PR8800008D"</f>
        <v>PR8800008D</v>
      </c>
      <c r="F3355" s="5">
        <v>38882</v>
      </c>
      <c r="G3355" s="5">
        <v>54789</v>
      </c>
      <c r="H3355" s="4" t="str">
        <f>""</f>
        <v/>
      </c>
      <c r="I3355" s="4" t="str">
        <f>""</f>
        <v/>
      </c>
    </row>
    <row r="3356" spans="1:9" x14ac:dyDescent="0.3">
      <c r="A3356" s="1" t="str">
        <f>"88"</f>
        <v>88</v>
      </c>
      <c r="B3356" s="4" t="str">
        <f>"SARL PERRIN FERS ET METAUX"</f>
        <v>SARL PERRIN FERS ET METAUX</v>
      </c>
      <c r="C3356" s="4">
        <v>385281001</v>
      </c>
      <c r="D3356" s="3" t="s">
        <v>0</v>
      </c>
      <c r="E3356" s="2" t="str">
        <f>"0006202508"</f>
        <v>0006202508</v>
      </c>
      <c r="F3356" s="5">
        <v>38881</v>
      </c>
      <c r="G3356" s="5">
        <v>54789</v>
      </c>
      <c r="H3356" s="4" t="str">
        <f>""</f>
        <v/>
      </c>
      <c r="I3356" s="4" t="str">
        <f>""</f>
        <v/>
      </c>
    </row>
    <row r="3357" spans="1:9" x14ac:dyDescent="0.3">
      <c r="A3357" s="1" t="str">
        <f>"88"</f>
        <v>88</v>
      </c>
      <c r="B3357" s="4" t="str">
        <f>"SARL PERRIN FERS ET METAUX"</f>
        <v>SARL PERRIN FERS ET METAUX</v>
      </c>
      <c r="C3357" s="4">
        <v>385281001</v>
      </c>
      <c r="D3357" s="3" t="s">
        <v>0</v>
      </c>
      <c r="E3357" s="2" t="str">
        <f>"PR8800009D"</f>
        <v>PR8800009D</v>
      </c>
      <c r="F3357" s="5">
        <v>38881</v>
      </c>
      <c r="G3357" s="5">
        <v>54789</v>
      </c>
      <c r="H3357" s="4" t="str">
        <f>""</f>
        <v/>
      </c>
      <c r="I3357" s="4" t="str">
        <f>""</f>
        <v/>
      </c>
    </row>
    <row r="3358" spans="1:9" x14ac:dyDescent="0.3">
      <c r="A3358" s="1" t="str">
        <f>"88"</f>
        <v>88</v>
      </c>
      <c r="B3358" s="4" t="str">
        <f>"SOCCEUR 88"</f>
        <v>SOCCEUR 88</v>
      </c>
      <c r="C3358" s="4">
        <v>395287154</v>
      </c>
      <c r="D3358" s="3" t="s">
        <v>0</v>
      </c>
      <c r="E3358" s="2" t="str">
        <f>"0006202520"</f>
        <v>0006202520</v>
      </c>
      <c r="F3358" s="5">
        <v>43903</v>
      </c>
      <c r="G3358" s="5">
        <v>54789</v>
      </c>
      <c r="H3358" s="4" t="str">
        <f>""</f>
        <v/>
      </c>
      <c r="I3358" s="4" t="str">
        <f>""</f>
        <v/>
      </c>
    </row>
    <row r="3359" spans="1:9" x14ac:dyDescent="0.3">
      <c r="A3359" s="1" t="str">
        <f>"88"</f>
        <v>88</v>
      </c>
      <c r="B3359" s="4" t="str">
        <f>"SOCCEUR 88"</f>
        <v>SOCCEUR 88</v>
      </c>
      <c r="C3359" s="4">
        <v>395287154</v>
      </c>
      <c r="D3359" s="3" t="s">
        <v>0</v>
      </c>
      <c r="E3359" s="2" t="str">
        <f>"PR88000022D"</f>
        <v>PR88000022D</v>
      </c>
      <c r="F3359" s="5">
        <v>43903</v>
      </c>
      <c r="G3359" s="5">
        <v>54789</v>
      </c>
      <c r="H3359" s="4" t="str">
        <f>""</f>
        <v/>
      </c>
      <c r="I3359" s="4" t="str">
        <f>""</f>
        <v/>
      </c>
    </row>
    <row r="3360" spans="1:9" x14ac:dyDescent="0.3">
      <c r="A3360" s="1" t="str">
        <f>"88"</f>
        <v>88</v>
      </c>
      <c r="B3360" s="4" t="str">
        <f>"HUMBERT EDITH"</f>
        <v>HUMBERT EDITH</v>
      </c>
      <c r="C3360" s="4">
        <v>408096964</v>
      </c>
      <c r="D3360" s="3" t="s">
        <v>0</v>
      </c>
      <c r="E3360" s="2" t="str">
        <f>"PR8800011D"</f>
        <v>PR8800011D</v>
      </c>
      <c r="F3360" s="5">
        <v>43678</v>
      </c>
      <c r="G3360" s="5">
        <v>54789</v>
      </c>
      <c r="H3360" s="4" t="str">
        <f>""</f>
        <v/>
      </c>
      <c r="I3360" s="4" t="str">
        <f>""</f>
        <v/>
      </c>
    </row>
    <row r="3361" spans="1:9" x14ac:dyDescent="0.3">
      <c r="A3361" s="1" t="str">
        <f>"88"</f>
        <v>88</v>
      </c>
      <c r="B3361" s="4" t="str">
        <f>"HUMBERT EDITH"</f>
        <v>HUMBERT EDITH</v>
      </c>
      <c r="C3361" s="4">
        <v>408096964</v>
      </c>
      <c r="D3361" s="3" t="s">
        <v>0</v>
      </c>
      <c r="E3361" s="2" t="str">
        <f>"0006202291"</f>
        <v>0006202291</v>
      </c>
      <c r="F3361" s="5">
        <v>43678</v>
      </c>
      <c r="G3361" s="5">
        <v>54789</v>
      </c>
      <c r="H3361" s="4" t="str">
        <f>""</f>
        <v/>
      </c>
      <c r="I3361" s="4" t="str">
        <f>""</f>
        <v/>
      </c>
    </row>
    <row r="3362" spans="1:9" x14ac:dyDescent="0.3">
      <c r="A3362" s="1" t="str">
        <f>"88"</f>
        <v>88</v>
      </c>
      <c r="B3362" s="4" t="str">
        <f>"VICTOR LEITE"</f>
        <v>VICTOR LEITE</v>
      </c>
      <c r="C3362" s="4">
        <v>428982151</v>
      </c>
      <c r="D3362" s="3" t="s">
        <v>0</v>
      </c>
      <c r="E3362" s="2" t="str">
        <f>"PR8800018D"</f>
        <v>PR8800018D</v>
      </c>
      <c r="F3362" s="5">
        <v>42312</v>
      </c>
      <c r="G3362" s="5">
        <v>54789</v>
      </c>
      <c r="H3362" s="4" t="str">
        <f>""</f>
        <v/>
      </c>
      <c r="I3362" s="4" t="str">
        <f>""</f>
        <v/>
      </c>
    </row>
    <row r="3363" spans="1:9" x14ac:dyDescent="0.3">
      <c r="A3363" s="1" t="str">
        <f>"88"</f>
        <v>88</v>
      </c>
      <c r="B3363" s="4" t="str">
        <f>"VICTOR LEITE"</f>
        <v>VICTOR LEITE</v>
      </c>
      <c r="C3363" s="4">
        <v>428982151</v>
      </c>
      <c r="D3363" s="3" t="s">
        <v>0</v>
      </c>
      <c r="E3363" s="2" t="str">
        <f>"0006209464"</f>
        <v>0006209464</v>
      </c>
      <c r="F3363" s="5">
        <v>42312</v>
      </c>
      <c r="G3363" s="5">
        <v>54789</v>
      </c>
      <c r="H3363" s="4" t="str">
        <f>""</f>
        <v/>
      </c>
      <c r="I3363" s="4" t="str">
        <f>""</f>
        <v/>
      </c>
    </row>
    <row r="3364" spans="1:9" x14ac:dyDescent="0.3">
      <c r="A3364" s="1" t="str">
        <f>"88"</f>
        <v>88</v>
      </c>
      <c r="B3364" s="4" t="str">
        <f>"EST 4X4 DIFFUSION"</f>
        <v>EST 4X4 DIFFUSION</v>
      </c>
      <c r="C3364" s="4">
        <v>499956761</v>
      </c>
      <c r="D3364" s="3" t="s">
        <v>0</v>
      </c>
      <c r="E3364" s="2" t="str">
        <f>"PR8800021D"</f>
        <v>PR8800021D</v>
      </c>
      <c r="F3364" s="5">
        <v>43014</v>
      </c>
      <c r="G3364" s="5">
        <v>54789</v>
      </c>
      <c r="H3364" s="4" t="str">
        <f>""</f>
        <v/>
      </c>
      <c r="I3364" s="4" t="str">
        <f>""</f>
        <v/>
      </c>
    </row>
    <row r="3365" spans="1:9" x14ac:dyDescent="0.3">
      <c r="A3365" s="1" t="str">
        <f>"88"</f>
        <v>88</v>
      </c>
      <c r="B3365" s="4" t="str">
        <f>"EST 4X4 DIFFUSION"</f>
        <v>EST 4X4 DIFFUSION</v>
      </c>
      <c r="C3365" s="4">
        <v>499956761</v>
      </c>
      <c r="D3365" s="3" t="s">
        <v>0</v>
      </c>
      <c r="E3365" s="2" t="str">
        <f>"0003012857"</f>
        <v>0003012857</v>
      </c>
      <c r="F3365" s="5">
        <v>43014</v>
      </c>
      <c r="G3365" s="5">
        <v>54789</v>
      </c>
      <c r="H3365" s="4" t="str">
        <f>""</f>
        <v/>
      </c>
      <c r="I3365" s="4" t="str">
        <f>""</f>
        <v/>
      </c>
    </row>
    <row r="3366" spans="1:9" x14ac:dyDescent="0.3">
      <c r="A3366" s="1" t="str">
        <f>"88"</f>
        <v>88</v>
      </c>
      <c r="B3366" s="4" t="str">
        <f>"SOLUTION M"</f>
        <v>SOLUTION M</v>
      </c>
      <c r="C3366" s="4">
        <v>500708128</v>
      </c>
      <c r="D3366" s="3" t="s">
        <v>0</v>
      </c>
      <c r="E3366" s="2" t="str">
        <f>"0006209336"</f>
        <v>0006209336</v>
      </c>
      <c r="F3366" s="5">
        <v>44776</v>
      </c>
      <c r="G3366" s="5">
        <v>54789</v>
      </c>
      <c r="H3366" s="4" t="str">
        <f>""</f>
        <v/>
      </c>
      <c r="I3366" s="4" t="str">
        <f>""</f>
        <v/>
      </c>
    </row>
    <row r="3367" spans="1:9" x14ac:dyDescent="0.3">
      <c r="A3367" s="1" t="str">
        <f>"88"</f>
        <v>88</v>
      </c>
      <c r="B3367" s="4" t="str">
        <f>"SOLUTION M"</f>
        <v>SOLUTION M</v>
      </c>
      <c r="C3367" s="4">
        <v>500708128</v>
      </c>
      <c r="D3367" s="3" t="s">
        <v>0</v>
      </c>
      <c r="E3367" s="2" t="str">
        <f>"PR8800026D"</f>
        <v>PR8800026D</v>
      </c>
      <c r="F3367" s="5">
        <v>44776</v>
      </c>
      <c r="G3367" s="5">
        <v>54789</v>
      </c>
      <c r="H3367" s="4" t="str">
        <f>""</f>
        <v/>
      </c>
      <c r="I3367" s="4" t="str">
        <f>""</f>
        <v/>
      </c>
    </row>
    <row r="3368" spans="1:9" x14ac:dyDescent="0.3">
      <c r="A3368" s="1" t="str">
        <f>"88"</f>
        <v>88</v>
      </c>
      <c r="B3368" s="4" t="str">
        <f>"ETABLISSEMENTS DAVID DREYFUS"</f>
        <v>ETABLISSEMENTS DAVID DREYFUS</v>
      </c>
      <c r="C3368" s="4">
        <v>505780213</v>
      </c>
      <c r="D3368" s="3" t="s">
        <v>0</v>
      </c>
      <c r="E3368" s="2" t="str">
        <f>"PR8800015D"</f>
        <v>PR8800015D</v>
      </c>
      <c r="F3368" s="5">
        <v>39030</v>
      </c>
      <c r="G3368" s="5">
        <v>54789</v>
      </c>
      <c r="H3368" s="4" t="str">
        <f>""</f>
        <v/>
      </c>
      <c r="I3368" s="4" t="str">
        <f>""</f>
        <v/>
      </c>
    </row>
    <row r="3369" spans="1:9" x14ac:dyDescent="0.3">
      <c r="A3369" s="1" t="str">
        <f>"88"</f>
        <v>88</v>
      </c>
      <c r="B3369" s="4" t="str">
        <f>"ETABLISSEMENTS DAVID DREYFUS"</f>
        <v>ETABLISSEMENTS DAVID DREYFUS</v>
      </c>
      <c r="C3369" s="4">
        <v>505780213</v>
      </c>
      <c r="D3369" s="3" t="s">
        <v>0</v>
      </c>
      <c r="E3369" s="2" t="str">
        <f>"0006204707"</f>
        <v>0006204707</v>
      </c>
      <c r="F3369" s="5">
        <v>39030</v>
      </c>
      <c r="G3369" s="5">
        <v>54789</v>
      </c>
      <c r="H3369" s="4" t="str">
        <f>""</f>
        <v/>
      </c>
      <c r="I3369" s="4" t="str">
        <f>""</f>
        <v/>
      </c>
    </row>
    <row r="3370" spans="1:9" x14ac:dyDescent="0.3">
      <c r="A3370" s="1" t="str">
        <f>"88"</f>
        <v>88</v>
      </c>
      <c r="B3370" s="4" t="str">
        <f>"ESKA"</f>
        <v>ESKA</v>
      </c>
      <c r="C3370" s="4">
        <v>558502811</v>
      </c>
      <c r="D3370" s="3" t="s">
        <v>0</v>
      </c>
      <c r="E3370" s="2" t="str">
        <f>"PR8800003B"</f>
        <v>PR8800003B</v>
      </c>
      <c r="F3370" s="5">
        <v>43185</v>
      </c>
      <c r="G3370" s="5">
        <v>54789</v>
      </c>
      <c r="H3370" s="4" t="str">
        <f>""</f>
        <v/>
      </c>
      <c r="I3370" s="4" t="str">
        <f>""</f>
        <v/>
      </c>
    </row>
    <row r="3371" spans="1:9" x14ac:dyDescent="0.3">
      <c r="A3371" s="1" t="str">
        <f>"88"</f>
        <v>88</v>
      </c>
      <c r="B3371" s="4" t="str">
        <f>"ESKA"</f>
        <v>ESKA</v>
      </c>
      <c r="C3371" s="4">
        <v>558502811</v>
      </c>
      <c r="D3371" s="3" t="s">
        <v>0</v>
      </c>
      <c r="E3371" s="2" t="str">
        <f>"0006202273"</f>
        <v>0006202273</v>
      </c>
      <c r="F3371" s="5">
        <v>43186</v>
      </c>
      <c r="G3371" s="5">
        <v>54789</v>
      </c>
      <c r="H3371" s="4" t="str">
        <f>""</f>
        <v/>
      </c>
      <c r="I3371" s="4" t="str">
        <f>""</f>
        <v/>
      </c>
    </row>
    <row r="3372" spans="1:9" x14ac:dyDescent="0.3">
      <c r="A3372" s="1" t="str">
        <f>"88"</f>
        <v>88</v>
      </c>
      <c r="B3372" s="4" t="str">
        <f>"AUTO CASSE LECOMTE"</f>
        <v>AUTO CASSE LECOMTE</v>
      </c>
      <c r="C3372" s="4">
        <v>802113308</v>
      </c>
      <c r="D3372" s="3" t="s">
        <v>0</v>
      </c>
      <c r="E3372" s="2" t="str">
        <f>"PR8800007D"</f>
        <v>PR8800007D</v>
      </c>
      <c r="F3372" s="5">
        <v>38882</v>
      </c>
      <c r="G3372" s="5">
        <v>54789</v>
      </c>
      <c r="H3372" s="4" t="str">
        <f>""</f>
        <v/>
      </c>
      <c r="I3372" s="4" t="str">
        <f>""</f>
        <v/>
      </c>
    </row>
    <row r="3373" spans="1:9" x14ac:dyDescent="0.3">
      <c r="A3373" s="1" t="str">
        <f>"88"</f>
        <v>88</v>
      </c>
      <c r="B3373" s="4" t="str">
        <f>"AUTO CASSE LECOMTE"</f>
        <v>AUTO CASSE LECOMTE</v>
      </c>
      <c r="C3373" s="4">
        <v>802113308</v>
      </c>
      <c r="D3373" s="3" t="s">
        <v>0</v>
      </c>
      <c r="E3373" s="2" t="str">
        <f>"0006202367"</f>
        <v>0006202367</v>
      </c>
      <c r="F3373" s="5">
        <v>38882</v>
      </c>
      <c r="G3373" s="5">
        <v>54789</v>
      </c>
      <c r="H3373" s="4" t="str">
        <f>""</f>
        <v/>
      </c>
      <c r="I3373" s="4" t="str">
        <f>""</f>
        <v/>
      </c>
    </row>
    <row r="3374" spans="1:9" x14ac:dyDescent="0.3">
      <c r="A3374" s="1" t="str">
        <f>"88"</f>
        <v>88</v>
      </c>
      <c r="B3374" s="4" t="str">
        <f>"G2L"</f>
        <v>G2L</v>
      </c>
      <c r="C3374" s="4">
        <v>805241205</v>
      </c>
      <c r="D3374" s="3" t="s">
        <v>0</v>
      </c>
      <c r="E3374" s="2" t="str">
        <f>"0100035936"</f>
        <v>0100035936</v>
      </c>
      <c r="F3374" s="5">
        <v>45266</v>
      </c>
      <c r="G3374" s="5">
        <v>54789</v>
      </c>
      <c r="H3374" s="4" t="str">
        <f>""</f>
        <v/>
      </c>
      <c r="I3374" s="4" t="str">
        <f>""</f>
        <v/>
      </c>
    </row>
    <row r="3375" spans="1:9" x14ac:dyDescent="0.3">
      <c r="A3375" s="1" t="str">
        <f>"88"</f>
        <v>88</v>
      </c>
      <c r="B3375" s="4" t="str">
        <f>"G2L SARL"</f>
        <v>G2L SARL</v>
      </c>
      <c r="C3375" s="4">
        <v>805241205</v>
      </c>
      <c r="D3375" s="3" t="s">
        <v>0</v>
      </c>
      <c r="E3375" s="2" t="str">
        <f>"PR8800024D"</f>
        <v>PR8800024D</v>
      </c>
      <c r="F3375" s="5">
        <v>44210</v>
      </c>
      <c r="G3375" s="5">
        <v>54789</v>
      </c>
      <c r="H3375" s="4" t="str">
        <f>""</f>
        <v/>
      </c>
      <c r="I3375" s="4" t="str">
        <f>""</f>
        <v/>
      </c>
    </row>
    <row r="3376" spans="1:9" x14ac:dyDescent="0.3">
      <c r="A3376" s="1" t="str">
        <f>"88"</f>
        <v>88</v>
      </c>
      <c r="B3376" s="4" t="str">
        <f>"G2L"</f>
        <v>G2L</v>
      </c>
      <c r="C3376" s="4">
        <v>805241205</v>
      </c>
      <c r="D3376" s="3" t="s">
        <v>0</v>
      </c>
      <c r="E3376" s="2" t="str">
        <f>"PR8900029D"</f>
        <v>PR8900029D</v>
      </c>
      <c r="F3376" s="5">
        <v>45266</v>
      </c>
      <c r="G3376" s="5">
        <v>54789</v>
      </c>
      <c r="H3376" s="4" t="str">
        <f>""</f>
        <v/>
      </c>
      <c r="I3376" s="4" t="str">
        <f>""</f>
        <v/>
      </c>
    </row>
    <row r="3377" spans="1:9" x14ac:dyDescent="0.3">
      <c r="A3377" s="1" t="str">
        <f>"88"</f>
        <v>88</v>
      </c>
      <c r="B3377" s="4" t="str">
        <f>"G2L SARL"</f>
        <v>G2L SARL</v>
      </c>
      <c r="C3377" s="4">
        <v>805241205</v>
      </c>
      <c r="D3377" s="3" t="s">
        <v>0</v>
      </c>
      <c r="E3377" s="2" t="str">
        <f>"0003014717"</f>
        <v>0003014717</v>
      </c>
      <c r="F3377" s="5">
        <v>44210</v>
      </c>
      <c r="G3377" s="5">
        <v>54789</v>
      </c>
      <c r="H3377" s="4" t="str">
        <f>""</f>
        <v/>
      </c>
      <c r="I3377" s="4" t="str">
        <f>""</f>
        <v/>
      </c>
    </row>
    <row r="3378" spans="1:9" x14ac:dyDescent="0.3">
      <c r="A3378" s="1" t="str">
        <f>"88"</f>
        <v>88</v>
      </c>
      <c r="B3378" s="4" t="str">
        <f>"ACCUEIL AUTO PIECES 88"</f>
        <v>ACCUEIL AUTO PIECES 88</v>
      </c>
      <c r="C3378" s="4">
        <v>813822814</v>
      </c>
      <c r="D3378" s="3" t="s">
        <v>0</v>
      </c>
      <c r="E3378" s="2" t="str">
        <f>"0006206581"</f>
        <v>0006206581</v>
      </c>
      <c r="F3378" s="5">
        <v>43584</v>
      </c>
      <c r="G3378" s="5">
        <v>54789</v>
      </c>
      <c r="H3378" s="4" t="str">
        <f>""</f>
        <v/>
      </c>
      <c r="I3378" s="4" t="str">
        <f>""</f>
        <v/>
      </c>
    </row>
    <row r="3379" spans="1:9" x14ac:dyDescent="0.3">
      <c r="A3379" s="1" t="str">
        <f>"88"</f>
        <v>88</v>
      </c>
      <c r="B3379" s="4" t="str">
        <f>"ACCUEIL AUTO PIECES 88"</f>
        <v>ACCUEIL AUTO PIECES 88</v>
      </c>
      <c r="C3379" s="4">
        <v>813822814</v>
      </c>
      <c r="D3379" s="3" t="s">
        <v>0</v>
      </c>
      <c r="E3379" s="2" t="str">
        <f>"PR8800017D"</f>
        <v>PR8800017D</v>
      </c>
      <c r="F3379" s="5">
        <v>43584</v>
      </c>
      <c r="G3379" s="5">
        <v>54789</v>
      </c>
      <c r="H3379" s="4" t="str">
        <f>""</f>
        <v/>
      </c>
      <c r="I3379" s="4" t="str">
        <f>""</f>
        <v/>
      </c>
    </row>
    <row r="3380" spans="1:9" x14ac:dyDescent="0.3">
      <c r="A3380" s="1" t="str">
        <f>"88"</f>
        <v>88</v>
      </c>
      <c r="B3380" s="4" t="str">
        <f>"DERAPAGE"</f>
        <v>DERAPAGE</v>
      </c>
      <c r="C3380" s="4">
        <v>879745693</v>
      </c>
      <c r="D3380" s="3" t="s">
        <v>0</v>
      </c>
      <c r="E3380" s="2" t="str">
        <f>"0006202502"</f>
        <v>0006202502</v>
      </c>
      <c r="F3380" s="5">
        <v>44034</v>
      </c>
      <c r="G3380" s="5">
        <v>54789</v>
      </c>
      <c r="H3380" s="4" t="str">
        <f>""</f>
        <v/>
      </c>
      <c r="I3380" s="4" t="str">
        <f>""</f>
        <v/>
      </c>
    </row>
    <row r="3381" spans="1:9" x14ac:dyDescent="0.3">
      <c r="A3381" s="1" t="str">
        <f>"88"</f>
        <v>88</v>
      </c>
      <c r="B3381" s="4" t="str">
        <f>"DERAPAGE"</f>
        <v>DERAPAGE</v>
      </c>
      <c r="C3381" s="4">
        <v>879745693</v>
      </c>
      <c r="D3381" s="3" t="s">
        <v>0</v>
      </c>
      <c r="E3381" s="2" t="str">
        <f>"PR88000023D"</f>
        <v>PR88000023D</v>
      </c>
      <c r="F3381" s="5">
        <v>44034</v>
      </c>
      <c r="G3381" s="5">
        <v>54789</v>
      </c>
      <c r="H3381" s="4" t="str">
        <f>""</f>
        <v/>
      </c>
      <c r="I3381" s="4" t="str">
        <f>""</f>
        <v/>
      </c>
    </row>
    <row r="3382" spans="1:9" x14ac:dyDescent="0.3">
      <c r="A3382" s="1" t="str">
        <f>"88"</f>
        <v>88</v>
      </c>
      <c r="B3382" s="4" t="str">
        <f>"DERAPAGE"</f>
        <v>DERAPAGE</v>
      </c>
      <c r="C3382" s="4">
        <v>879745693</v>
      </c>
      <c r="D3382" s="3" t="s">
        <v>0</v>
      </c>
      <c r="E3382" s="2" t="str">
        <f>"PR8800023D"</f>
        <v>PR8800023D</v>
      </c>
      <c r="F3382" s="5">
        <v>44034</v>
      </c>
      <c r="G3382" s="5">
        <v>54789</v>
      </c>
      <c r="H3382" s="4" t="str">
        <f>""</f>
        <v/>
      </c>
      <c r="I3382" s="4" t="str">
        <f>""</f>
        <v/>
      </c>
    </row>
    <row r="3383" spans="1:9" x14ac:dyDescent="0.3">
      <c r="A3383" s="1" t="str">
        <f>"88"</f>
        <v>88</v>
      </c>
      <c r="B3383" s="4" t="str">
        <f>"TMV AUTO SARL"</f>
        <v>TMV AUTO SARL</v>
      </c>
      <c r="C3383" s="4">
        <v>889981478</v>
      </c>
      <c r="D3383" s="3" t="s">
        <v>0</v>
      </c>
      <c r="E3383" s="2" t="str">
        <f>"PR88000025D"</f>
        <v>PR88000025D</v>
      </c>
      <c r="F3383" s="5">
        <v>44236</v>
      </c>
      <c r="G3383" s="5">
        <v>54789</v>
      </c>
      <c r="H3383" s="4" t="str">
        <f>""</f>
        <v/>
      </c>
      <c r="I3383" s="4" t="str">
        <f>""</f>
        <v/>
      </c>
    </row>
    <row r="3384" spans="1:9" x14ac:dyDescent="0.3">
      <c r="A3384" s="1" t="str">
        <f>"88"</f>
        <v>88</v>
      </c>
      <c r="B3384" s="4" t="str">
        <f>"R.D.E.M RECYCLAGE"</f>
        <v>R.D.E.M RECYCLAGE</v>
      </c>
      <c r="C3384" s="4">
        <v>898927538</v>
      </c>
      <c r="D3384" s="3" t="s">
        <v>0</v>
      </c>
      <c r="E3384" s="2" t="str">
        <f>"0100000913"</f>
        <v>0100000913</v>
      </c>
      <c r="F3384" s="5">
        <v>45184</v>
      </c>
      <c r="G3384" s="5">
        <v>54789</v>
      </c>
      <c r="H3384" s="4" t="str">
        <f>""</f>
        <v/>
      </c>
      <c r="I3384" s="4" t="str">
        <f>""</f>
        <v/>
      </c>
    </row>
    <row r="3385" spans="1:9" x14ac:dyDescent="0.3">
      <c r="A3385" s="1" t="str">
        <f>"88"</f>
        <v>88</v>
      </c>
      <c r="B3385" s="4" t="str">
        <f>"R.D.E.M RECYCLAGE"</f>
        <v>R.D.E.M RECYCLAGE</v>
      </c>
      <c r="C3385" s="4">
        <v>898927538</v>
      </c>
      <c r="D3385" s="3" t="s">
        <v>0</v>
      </c>
      <c r="E3385" s="2" t="str">
        <f>"PR88000028D"</f>
        <v>PR88000028D</v>
      </c>
      <c r="F3385" s="5">
        <v>45184</v>
      </c>
      <c r="G3385" s="5">
        <v>54789</v>
      </c>
      <c r="H3385" s="4" t="str">
        <f>""</f>
        <v/>
      </c>
      <c r="I3385" s="4" t="str">
        <f>""</f>
        <v/>
      </c>
    </row>
    <row r="3386" spans="1:9" x14ac:dyDescent="0.3">
      <c r="A3386" s="1" t="str">
        <f>"88"</f>
        <v>88</v>
      </c>
      <c r="B3386" s="4" t="str">
        <f>"CHRIS.PIECES AUTOS"</f>
        <v>CHRIS.PIECES AUTOS</v>
      </c>
      <c r="C3386" s="4">
        <v>919929067</v>
      </c>
      <c r="D3386" s="3" t="s">
        <v>0</v>
      </c>
      <c r="E3386" s="2" t="str">
        <f>"0006202239"</f>
        <v>0006202239</v>
      </c>
      <c r="F3386" s="5">
        <v>45132</v>
      </c>
      <c r="G3386" s="5">
        <v>54789</v>
      </c>
      <c r="H3386" s="4" t="str">
        <f>""</f>
        <v/>
      </c>
      <c r="I3386" s="4" t="str">
        <f>""</f>
        <v/>
      </c>
    </row>
    <row r="3387" spans="1:9" x14ac:dyDescent="0.3">
      <c r="A3387" s="1" t="str">
        <f>"88"</f>
        <v>88</v>
      </c>
      <c r="B3387" s="4" t="str">
        <f>"CHRIS.PIECES AUTOS"</f>
        <v>CHRIS.PIECES AUTOS</v>
      </c>
      <c r="C3387" s="4">
        <v>919929067</v>
      </c>
      <c r="D3387" s="3" t="s">
        <v>0</v>
      </c>
      <c r="E3387" s="2" t="str">
        <f>"PR88000027D"</f>
        <v>PR88000027D</v>
      </c>
      <c r="F3387" s="5">
        <v>45132</v>
      </c>
      <c r="G3387" s="5">
        <v>54789</v>
      </c>
      <c r="H3387" s="4" t="str">
        <f>""</f>
        <v/>
      </c>
      <c r="I3387" s="4" t="str">
        <f>""</f>
        <v/>
      </c>
    </row>
    <row r="3388" spans="1:9" x14ac:dyDescent="0.3">
      <c r="A3388" s="1" t="str">
        <f>"89"</f>
        <v>89</v>
      </c>
      <c r="B3388" s="4" t="str">
        <f>"AUTO PIECES MIGUEL"</f>
        <v>AUTO PIECES MIGUEL</v>
      </c>
      <c r="C3388" s="4">
        <v>344280235</v>
      </c>
      <c r="D3388" s="3" t="s">
        <v>0</v>
      </c>
      <c r="E3388" s="2" t="str">
        <f>"PR8900009D"</f>
        <v>PR8900009D</v>
      </c>
      <c r="F3388" s="5">
        <v>39475</v>
      </c>
      <c r="G3388" s="5">
        <v>54789</v>
      </c>
      <c r="H3388" s="4" t="str">
        <f>""</f>
        <v/>
      </c>
      <c r="I3388" s="4" t="str">
        <f>""</f>
        <v/>
      </c>
    </row>
    <row r="3389" spans="1:9" x14ac:dyDescent="0.3">
      <c r="A3389" s="1" t="str">
        <f>"89"</f>
        <v>89</v>
      </c>
      <c r="B3389" s="4" t="str">
        <f>"AUTO PIECES MIGUEL"</f>
        <v>AUTO PIECES MIGUEL</v>
      </c>
      <c r="C3389" s="4">
        <v>344280235</v>
      </c>
      <c r="D3389" s="3" t="s">
        <v>0</v>
      </c>
      <c r="E3389" s="2" t="str">
        <f>"0025500014"</f>
        <v>0025500014</v>
      </c>
      <c r="F3389" s="5">
        <v>38510</v>
      </c>
      <c r="G3389" s="5">
        <v>54789</v>
      </c>
      <c r="H3389" s="4" t="str">
        <f>""</f>
        <v/>
      </c>
      <c r="I3389" s="4" t="str">
        <f>""</f>
        <v/>
      </c>
    </row>
    <row r="3390" spans="1:9" x14ac:dyDescent="0.3">
      <c r="A3390" s="1" t="str">
        <f>"89"</f>
        <v>89</v>
      </c>
      <c r="B3390" s="4" t="str">
        <f>"AUTO PIECES SENS"</f>
        <v>AUTO PIECES SENS</v>
      </c>
      <c r="C3390" s="4">
        <v>348680679</v>
      </c>
      <c r="D3390" s="3" t="s">
        <v>0</v>
      </c>
      <c r="E3390" s="2" t="str">
        <f>"PR8900004D"</f>
        <v>PR8900004D</v>
      </c>
      <c r="F3390" s="5">
        <v>39014</v>
      </c>
      <c r="G3390" s="5">
        <v>54789</v>
      </c>
      <c r="H3390" s="4" t="str">
        <f>""</f>
        <v/>
      </c>
      <c r="I3390" s="4" t="str">
        <f>""</f>
        <v/>
      </c>
    </row>
    <row r="3391" spans="1:9" x14ac:dyDescent="0.3">
      <c r="A3391" s="1" t="str">
        <f>"89"</f>
        <v>89</v>
      </c>
      <c r="B3391" s="4" t="str">
        <f>"AUTO PIECES SENS"</f>
        <v>AUTO PIECES SENS</v>
      </c>
      <c r="C3391" s="4">
        <v>348680679</v>
      </c>
      <c r="D3391" s="3" t="s">
        <v>0</v>
      </c>
      <c r="E3391" s="2" t="str">
        <f>"0024500002"</f>
        <v>0024500002</v>
      </c>
      <c r="F3391" s="5">
        <v>40896</v>
      </c>
      <c r="G3391" s="5">
        <v>54789</v>
      </c>
      <c r="H3391" s="4" t="str">
        <f>""</f>
        <v/>
      </c>
      <c r="I3391" s="4" t="str">
        <f>""</f>
        <v/>
      </c>
    </row>
    <row r="3392" spans="1:9" x14ac:dyDescent="0.3">
      <c r="A3392" s="1" t="str">
        <f>"89"</f>
        <v>89</v>
      </c>
      <c r="B3392" s="4" t="str">
        <f>"CARS PIECES EXPRESS"</f>
        <v>CARS PIECES EXPRESS</v>
      </c>
      <c r="C3392" s="4">
        <v>353489958</v>
      </c>
      <c r="D3392" s="3" t="s">
        <v>0</v>
      </c>
      <c r="E3392" s="2" t="str">
        <f>"PR8900013D"</f>
        <v>PR8900013D</v>
      </c>
      <c r="F3392" s="5">
        <v>41053</v>
      </c>
      <c r="G3392" s="5">
        <v>54789</v>
      </c>
      <c r="H3392" s="4" t="str">
        <f>""</f>
        <v/>
      </c>
      <c r="I3392" s="4" t="str">
        <f>""</f>
        <v/>
      </c>
    </row>
    <row r="3393" spans="1:9" x14ac:dyDescent="0.3">
      <c r="A3393" s="1" t="str">
        <f>"89"</f>
        <v>89</v>
      </c>
      <c r="B3393" s="4" t="str">
        <f>"CARS PIECES EXPRESS"</f>
        <v>CARS PIECES EXPRESS</v>
      </c>
      <c r="C3393" s="4">
        <v>353489958</v>
      </c>
      <c r="D3393" s="3" t="s">
        <v>0</v>
      </c>
      <c r="E3393" s="2" t="str">
        <f>"0005403005"</f>
        <v>0005403005</v>
      </c>
      <c r="F3393" s="5">
        <v>34940</v>
      </c>
      <c r="G3393" s="5">
        <v>54789</v>
      </c>
      <c r="H3393" s="4" t="str">
        <f>""</f>
        <v/>
      </c>
      <c r="I3393" s="4" t="str">
        <f>""</f>
        <v/>
      </c>
    </row>
    <row r="3394" spans="1:9" x14ac:dyDescent="0.3">
      <c r="A3394" s="1" t="str">
        <f>"89"</f>
        <v>89</v>
      </c>
      <c r="B3394" s="4" t="str">
        <f>"A LA BONNE OCCAS"</f>
        <v>A LA BONNE OCCAS</v>
      </c>
      <c r="C3394" s="4">
        <v>384752192</v>
      </c>
      <c r="D3394" s="3" t="s">
        <v>0</v>
      </c>
      <c r="E3394" s="2" t="str">
        <f>"PR890011D"</f>
        <v>PR890011D</v>
      </c>
      <c r="F3394" s="5">
        <v>39069</v>
      </c>
      <c r="G3394" s="5">
        <v>54789</v>
      </c>
      <c r="H3394" s="4" t="str">
        <f>""</f>
        <v/>
      </c>
      <c r="I3394" s="4" t="str">
        <f>""</f>
        <v/>
      </c>
    </row>
    <row r="3395" spans="1:9" x14ac:dyDescent="0.3">
      <c r="A3395" s="1" t="str">
        <f>"89"</f>
        <v>89</v>
      </c>
      <c r="B3395" s="4" t="str">
        <f>"A LA BONNE OCCAS"</f>
        <v>A LA BONNE OCCAS</v>
      </c>
      <c r="C3395" s="4">
        <v>384752192</v>
      </c>
      <c r="D3395" s="3" t="s">
        <v>0</v>
      </c>
      <c r="E3395" s="2" t="str">
        <f>"0025400046"</f>
        <v>0025400046</v>
      </c>
      <c r="F3395" s="5">
        <v>34519</v>
      </c>
      <c r="G3395" s="5">
        <v>54789</v>
      </c>
      <c r="H3395" s="4" t="str">
        <f>""</f>
        <v/>
      </c>
      <c r="I3395" s="4" t="str">
        <f>""</f>
        <v/>
      </c>
    </row>
    <row r="3396" spans="1:9" x14ac:dyDescent="0.3">
      <c r="A3396" s="1" t="str">
        <f>"89"</f>
        <v>89</v>
      </c>
      <c r="B3396" s="4" t="str">
        <f>"LA CASSE DES STADES"</f>
        <v>LA CASSE DES STADES</v>
      </c>
      <c r="C3396" s="4">
        <v>390633675</v>
      </c>
      <c r="D3396" s="3" t="s">
        <v>0</v>
      </c>
      <c r="E3396" s="2" t="str">
        <f>"PR8900010D"</f>
        <v>PR8900010D</v>
      </c>
      <c r="F3396" s="5">
        <v>39610</v>
      </c>
      <c r="G3396" s="5">
        <v>54789</v>
      </c>
      <c r="H3396" s="4" t="str">
        <f>""</f>
        <v/>
      </c>
      <c r="I3396" s="4" t="str">
        <f>""</f>
        <v/>
      </c>
    </row>
    <row r="3397" spans="1:9" x14ac:dyDescent="0.3">
      <c r="A3397" s="1" t="str">
        <f>"89"</f>
        <v>89</v>
      </c>
      <c r="B3397" s="4" t="str">
        <f>"LA CASSE DES STADES"</f>
        <v>LA CASSE DES STADES</v>
      </c>
      <c r="C3397" s="4">
        <v>390633675</v>
      </c>
      <c r="D3397" s="3" t="s">
        <v>0</v>
      </c>
      <c r="E3397" s="2" t="str">
        <f>"0025400007"</f>
        <v>0025400007</v>
      </c>
      <c r="F3397" s="5">
        <v>35508</v>
      </c>
      <c r="G3397" s="5">
        <v>54789</v>
      </c>
      <c r="H3397" s="4" t="str">
        <f>""</f>
        <v/>
      </c>
      <c r="I3397" s="4" t="str">
        <f>""</f>
        <v/>
      </c>
    </row>
    <row r="3398" spans="1:9" x14ac:dyDescent="0.3">
      <c r="A3398" s="1" t="str">
        <f>"89"</f>
        <v>89</v>
      </c>
      <c r="B3398" s="4" t="str">
        <f>"ODELOT"</f>
        <v>ODELOT</v>
      </c>
      <c r="C3398" s="4">
        <v>427020409</v>
      </c>
      <c r="D3398" s="3" t="s">
        <v>0</v>
      </c>
      <c r="E3398" s="2" t="str">
        <f>"PR8900015D"</f>
        <v>PR8900015D</v>
      </c>
      <c r="F3398" s="5">
        <v>41652</v>
      </c>
      <c r="G3398" s="5">
        <v>54789</v>
      </c>
      <c r="H3398" s="4" t="str">
        <f>""</f>
        <v/>
      </c>
      <c r="I3398" s="4" t="str">
        <f>""</f>
        <v/>
      </c>
    </row>
    <row r="3399" spans="1:9" x14ac:dyDescent="0.3">
      <c r="A3399" s="1" t="str">
        <f>"89"</f>
        <v>89</v>
      </c>
      <c r="B3399" s="4" t="str">
        <f>"ODELOT"</f>
        <v>ODELOT</v>
      </c>
      <c r="C3399" s="4">
        <v>427020409</v>
      </c>
      <c r="D3399" s="3" t="s">
        <v>0</v>
      </c>
      <c r="E3399" s="2" t="str">
        <f>"0025400026"</f>
        <v>0025400026</v>
      </c>
      <c r="F3399" s="5">
        <v>31104</v>
      </c>
      <c r="G3399" s="5">
        <v>54789</v>
      </c>
      <c r="H3399" s="4" t="str">
        <f>""</f>
        <v/>
      </c>
      <c r="I3399" s="4" t="str">
        <f>""</f>
        <v/>
      </c>
    </row>
    <row r="3400" spans="1:9" x14ac:dyDescent="0.3">
      <c r="A3400" s="1" t="str">
        <f>"89"</f>
        <v>89</v>
      </c>
      <c r="B3400" s="4" t="str">
        <f>"AUTO PIECES AVALLON"</f>
        <v>AUTO PIECES AVALLON</v>
      </c>
      <c r="C3400" s="4">
        <v>523920668</v>
      </c>
      <c r="D3400" s="3" t="s">
        <v>0</v>
      </c>
      <c r="E3400" s="2" t="str">
        <f>"PR8900016D"</f>
        <v>PR8900016D</v>
      </c>
      <c r="F3400" s="5">
        <v>42821</v>
      </c>
      <c r="G3400" s="5">
        <v>54789</v>
      </c>
      <c r="H3400" s="4" t="str">
        <f>""</f>
        <v/>
      </c>
      <c r="I3400" s="4" t="str">
        <f>""</f>
        <v/>
      </c>
    </row>
    <row r="3401" spans="1:9" x14ac:dyDescent="0.3">
      <c r="A3401" s="1" t="str">
        <f>"89"</f>
        <v>89</v>
      </c>
      <c r="B3401" s="4" t="str">
        <f>"AUTO PIECES AVALLON"</f>
        <v>AUTO PIECES AVALLON</v>
      </c>
      <c r="C3401" s="4">
        <v>523920668</v>
      </c>
      <c r="D3401" s="3" t="s">
        <v>0</v>
      </c>
      <c r="E3401" s="2" t="str">
        <f>"0003300098"</f>
        <v>0003300098</v>
      </c>
      <c r="F3401" s="5">
        <v>41431</v>
      </c>
      <c r="G3401" s="5">
        <v>54789</v>
      </c>
      <c r="H3401" s="4" t="str">
        <f>""</f>
        <v/>
      </c>
      <c r="I3401" s="4" t="str">
        <f>""</f>
        <v/>
      </c>
    </row>
    <row r="3402" spans="1:9" x14ac:dyDescent="0.3">
      <c r="A3402" s="1" t="str">
        <f>"89"</f>
        <v>89</v>
      </c>
      <c r="B3402" s="4" t="str">
        <f>"ESKA"</f>
        <v>ESKA</v>
      </c>
      <c r="C3402" s="4">
        <v>558502811</v>
      </c>
      <c r="D3402" s="3" t="s">
        <v>0</v>
      </c>
      <c r="E3402" s="2" t="str">
        <f>"PR8900002D"</f>
        <v>PR8900002D</v>
      </c>
      <c r="F3402" s="5">
        <v>43123</v>
      </c>
      <c r="G3402" s="5">
        <v>54789</v>
      </c>
      <c r="H3402" s="4" t="str">
        <f>""</f>
        <v/>
      </c>
      <c r="I3402" s="4" t="str">
        <f>""</f>
        <v/>
      </c>
    </row>
    <row r="3403" spans="1:9" x14ac:dyDescent="0.3">
      <c r="A3403" s="1" t="str">
        <f>"89"</f>
        <v>89</v>
      </c>
      <c r="B3403" s="4" t="str">
        <f>"ESKA"</f>
        <v>ESKA</v>
      </c>
      <c r="C3403" s="4">
        <v>558502811</v>
      </c>
      <c r="D3403" s="3" t="s">
        <v>0</v>
      </c>
      <c r="E3403" s="2" t="str">
        <f>"0025400038"</f>
        <v>0025400038</v>
      </c>
      <c r="F3403" s="5">
        <v>26245</v>
      </c>
      <c r="G3403" s="5">
        <v>54789</v>
      </c>
      <c r="H3403" s="4" t="str">
        <f>""</f>
        <v/>
      </c>
      <c r="I3403" s="4" t="str">
        <f>""</f>
        <v/>
      </c>
    </row>
    <row r="3404" spans="1:9" x14ac:dyDescent="0.3">
      <c r="A3404" s="1" t="str">
        <f>"89"</f>
        <v>89</v>
      </c>
      <c r="B3404" s="4" t="str">
        <f>"AUTO DAG"</f>
        <v>AUTO DAG</v>
      </c>
      <c r="C3404" s="4">
        <v>808490635</v>
      </c>
      <c r="D3404" s="3" t="s">
        <v>0</v>
      </c>
      <c r="E3404" s="2" t="str">
        <f>"PR8900017D"</f>
        <v>PR8900017D</v>
      </c>
      <c r="F3404" s="5">
        <v>42944</v>
      </c>
      <c r="G3404" s="5">
        <v>54789</v>
      </c>
      <c r="H3404" s="4" t="str">
        <f>""</f>
        <v/>
      </c>
      <c r="I3404" s="4" t="str">
        <f>""</f>
        <v/>
      </c>
    </row>
    <row r="3405" spans="1:9" x14ac:dyDescent="0.3">
      <c r="A3405" s="1" t="str">
        <f>"89"</f>
        <v>89</v>
      </c>
      <c r="B3405" s="4" t="str">
        <f>"AUTO DAG"</f>
        <v>AUTO DAG</v>
      </c>
      <c r="C3405" s="4">
        <v>808490635</v>
      </c>
      <c r="D3405" s="3" t="s">
        <v>0</v>
      </c>
      <c r="E3405" s="2" t="str">
        <f>"0005426172"</f>
        <v>0005426172</v>
      </c>
      <c r="F3405" s="5">
        <v>42944</v>
      </c>
      <c r="G3405" s="5">
        <v>54789</v>
      </c>
      <c r="H3405" s="4" t="str">
        <f>""</f>
        <v/>
      </c>
      <c r="I3405" s="4" t="str">
        <f>""</f>
        <v/>
      </c>
    </row>
    <row r="3406" spans="1:9" x14ac:dyDescent="0.3">
      <c r="A3406" s="1" t="str">
        <f>"89"</f>
        <v>89</v>
      </c>
      <c r="B3406" s="4" t="str">
        <f>"LHUILLIER RECYCLAGE AUTOMOBILE"</f>
        <v>LHUILLIER RECYCLAGE AUTOMOBILE</v>
      </c>
      <c r="C3406" s="4">
        <v>817774078</v>
      </c>
      <c r="D3406" s="3" t="s">
        <v>0</v>
      </c>
      <c r="E3406" s="2" t="str">
        <f>"PR8900003D"</f>
        <v>PR8900003D</v>
      </c>
      <c r="F3406" s="5">
        <v>38996</v>
      </c>
      <c r="G3406" s="5">
        <v>54789</v>
      </c>
      <c r="H3406" s="4" t="str">
        <f>""</f>
        <v/>
      </c>
      <c r="I3406" s="4" t="str">
        <f>""</f>
        <v/>
      </c>
    </row>
    <row r="3407" spans="1:9" x14ac:dyDescent="0.3">
      <c r="A3407" s="1" t="str">
        <f>"89"</f>
        <v>89</v>
      </c>
      <c r="B3407" s="4" t="str">
        <f>"LHUILLIER RECYCLAGE AUTOMOBILE"</f>
        <v>LHUILLIER RECYCLAGE AUTOMOBILE</v>
      </c>
      <c r="C3407" s="4">
        <v>817774078</v>
      </c>
      <c r="D3407" s="3" t="s">
        <v>0</v>
      </c>
      <c r="E3407" s="2" t="str">
        <f>"0025400029"</f>
        <v>0025400029</v>
      </c>
      <c r="F3407" s="5">
        <v>38996</v>
      </c>
      <c r="G3407" s="5">
        <v>54789</v>
      </c>
      <c r="H3407" s="4" t="str">
        <f>""</f>
        <v/>
      </c>
      <c r="I3407" s="4" t="str">
        <f>""</f>
        <v/>
      </c>
    </row>
    <row r="3408" spans="1:9" x14ac:dyDescent="0.3">
      <c r="A3408" s="1" t="str">
        <f>"90"</f>
        <v>90</v>
      </c>
      <c r="B3408" s="4" t="str">
        <f>"SA. STAND 90"</f>
        <v>SA. STAND 90</v>
      </c>
      <c r="C3408" s="4">
        <v>328147947</v>
      </c>
      <c r="D3408" s="3" t="s">
        <v>0</v>
      </c>
      <c r="E3408" s="2" t="str">
        <f>"PR9000001D"</f>
        <v>PR9000001D</v>
      </c>
      <c r="F3408" s="5">
        <v>38860</v>
      </c>
      <c r="G3408" s="5">
        <v>54789</v>
      </c>
      <c r="H3408" s="4" t="str">
        <f>""</f>
        <v/>
      </c>
      <c r="I3408" s="4" t="str">
        <f>""</f>
        <v/>
      </c>
    </row>
    <row r="3409" spans="1:9" x14ac:dyDescent="0.3">
      <c r="A3409" s="1" t="str">
        <f>"90"</f>
        <v>90</v>
      </c>
      <c r="B3409" s="4" t="str">
        <f>"SA. STAND 90"</f>
        <v>SA. STAND 90</v>
      </c>
      <c r="C3409" s="4">
        <v>328147947</v>
      </c>
      <c r="D3409" s="3" t="s">
        <v>0</v>
      </c>
      <c r="E3409" s="2" t="str">
        <f>"0005901329"</f>
        <v>0005901329</v>
      </c>
      <c r="F3409" s="5">
        <v>38860</v>
      </c>
      <c r="G3409" s="5">
        <v>54789</v>
      </c>
      <c r="H3409" s="4" t="str">
        <f>""</f>
        <v/>
      </c>
      <c r="I3409" s="4" t="str">
        <f>""</f>
        <v/>
      </c>
    </row>
    <row r="3410" spans="1:9" x14ac:dyDescent="0.3">
      <c r="A3410" s="1" t="str">
        <f>"90"</f>
        <v>90</v>
      </c>
      <c r="B3410" s="4" t="str">
        <f>"SARL CASS'AUTOS DARTIER"</f>
        <v>SARL CASS'AUTOS DARTIER</v>
      </c>
      <c r="C3410" s="4">
        <v>819217670</v>
      </c>
      <c r="D3410" s="3" t="s">
        <v>0</v>
      </c>
      <c r="E3410" s="2" t="str">
        <f>"PR9000007D"</f>
        <v>PR9000007D</v>
      </c>
      <c r="F3410" s="5">
        <v>42572</v>
      </c>
      <c r="G3410" s="5">
        <v>54789</v>
      </c>
      <c r="H3410" s="4" t="str">
        <f>""</f>
        <v/>
      </c>
      <c r="I3410" s="4" t="str">
        <f>""</f>
        <v/>
      </c>
    </row>
    <row r="3411" spans="1:9" x14ac:dyDescent="0.3">
      <c r="A3411" s="1" t="str">
        <f>"90"</f>
        <v>90</v>
      </c>
      <c r="B3411" s="4" t="str">
        <f>"SARL CASS'AUTOS DARTIER"</f>
        <v>SARL CASS'AUTOS DARTIER</v>
      </c>
      <c r="C3411" s="4">
        <v>819217670</v>
      </c>
      <c r="D3411" s="3" t="s">
        <v>0</v>
      </c>
      <c r="E3411" s="2" t="str">
        <f>"0005901474"</f>
        <v>0005901474</v>
      </c>
      <c r="F3411" s="5">
        <v>42572</v>
      </c>
      <c r="G3411" s="5">
        <v>54789</v>
      </c>
      <c r="H3411" s="4" t="str">
        <f>""</f>
        <v/>
      </c>
      <c r="I3411" s="4" t="str">
        <f>""</f>
        <v/>
      </c>
    </row>
    <row r="3412" spans="1:9" x14ac:dyDescent="0.3">
      <c r="A3412" s="1" t="str">
        <f>"90"</f>
        <v>90</v>
      </c>
      <c r="B3412" s="4" t="str">
        <f>"Société RECYCL'AUTOS"</f>
        <v>Société RECYCL'AUTOS</v>
      </c>
      <c r="C3412" s="4">
        <v>844692111</v>
      </c>
      <c r="D3412" s="3" t="s">
        <v>0</v>
      </c>
      <c r="E3412" s="2" t="str">
        <f>"PR9000008D"</f>
        <v>PR9000008D</v>
      </c>
      <c r="F3412" s="5">
        <v>43284</v>
      </c>
      <c r="G3412" s="5">
        <v>54789</v>
      </c>
      <c r="H3412" s="4" t="str">
        <f>""</f>
        <v/>
      </c>
      <c r="I3412" s="4" t="str">
        <f>""</f>
        <v/>
      </c>
    </row>
    <row r="3413" spans="1:9" x14ac:dyDescent="0.3">
      <c r="A3413" s="1" t="str">
        <f>"90"</f>
        <v>90</v>
      </c>
      <c r="B3413" s="4" t="str">
        <f>"Société RECYCL'AUTOS"</f>
        <v>Société RECYCL'AUTOS</v>
      </c>
      <c r="C3413" s="4">
        <v>844692111</v>
      </c>
      <c r="D3413" s="3" t="s">
        <v>0</v>
      </c>
      <c r="E3413" s="2" t="str">
        <f>"0003301649"</f>
        <v>0003301649</v>
      </c>
      <c r="F3413" s="5">
        <v>43284</v>
      </c>
      <c r="G3413" s="5">
        <v>54789</v>
      </c>
      <c r="H3413" s="4" t="str">
        <f>""</f>
        <v/>
      </c>
      <c r="I3413" s="4" t="str">
        <f>""</f>
        <v/>
      </c>
    </row>
    <row r="3414" spans="1:9" x14ac:dyDescent="0.3">
      <c r="A3414" s="1" t="str">
        <f>"91"</f>
        <v>91</v>
      </c>
      <c r="B3414" s="4" t="str">
        <f>"SEVA"</f>
        <v>SEVA</v>
      </c>
      <c r="C3414" s="4">
        <v>323784017</v>
      </c>
      <c r="D3414" s="3" t="s">
        <v>0</v>
      </c>
      <c r="E3414" s="2" t="str">
        <f>"PR9100002D"</f>
        <v>PR9100002D</v>
      </c>
      <c r="F3414" s="5">
        <v>41192</v>
      </c>
      <c r="G3414" s="5">
        <v>54789</v>
      </c>
      <c r="H3414" s="4" t="str">
        <f>""</f>
        <v/>
      </c>
      <c r="I3414" s="4" t="str">
        <f>""</f>
        <v/>
      </c>
    </row>
    <row r="3415" spans="1:9" x14ac:dyDescent="0.3">
      <c r="A3415" s="1" t="str">
        <f>"91"</f>
        <v>91</v>
      </c>
      <c r="B3415" s="4" t="str">
        <f>"SEVA"</f>
        <v>SEVA</v>
      </c>
      <c r="C3415" s="4">
        <v>323784017</v>
      </c>
      <c r="D3415" s="3" t="s">
        <v>0</v>
      </c>
      <c r="E3415" s="2" t="str">
        <f>"0006507023"</f>
        <v>0006507023</v>
      </c>
      <c r="F3415" s="5">
        <v>43379</v>
      </c>
      <c r="G3415" s="5">
        <v>54789</v>
      </c>
      <c r="H3415" s="4" t="str">
        <f>""</f>
        <v/>
      </c>
      <c r="I3415" s="4" t="str">
        <f>""</f>
        <v/>
      </c>
    </row>
    <row r="3416" spans="1:9" x14ac:dyDescent="0.3">
      <c r="A3416" s="1" t="str">
        <f>"91"</f>
        <v>91</v>
      </c>
      <c r="B3416" s="4" t="str">
        <f>"DEM'S AUTOS France"</f>
        <v>DEM'S AUTOS France</v>
      </c>
      <c r="C3416" s="4">
        <v>341273332</v>
      </c>
      <c r="D3416" s="3" t="s">
        <v>0</v>
      </c>
      <c r="E3416" s="2" t="str">
        <f>"PR9100025D"</f>
        <v>PR9100025D</v>
      </c>
      <c r="F3416" s="5">
        <v>42907</v>
      </c>
      <c r="G3416" s="5">
        <v>54789</v>
      </c>
      <c r="H3416" s="4" t="str">
        <f>""</f>
        <v/>
      </c>
      <c r="I3416" s="4" t="str">
        <f>""</f>
        <v/>
      </c>
    </row>
    <row r="3417" spans="1:9" x14ac:dyDescent="0.3">
      <c r="A3417" s="1" t="str">
        <f>"91"</f>
        <v>91</v>
      </c>
      <c r="B3417" s="4" t="str">
        <f>"DEM'S AUTO"</f>
        <v>DEM'S AUTO</v>
      </c>
      <c r="C3417" s="4">
        <v>341273332</v>
      </c>
      <c r="D3417" s="3" t="s">
        <v>0</v>
      </c>
      <c r="E3417" s="2" t="str">
        <f>"PR9100008D"</f>
        <v>PR9100008D</v>
      </c>
      <c r="F3417" s="5">
        <v>39211</v>
      </c>
      <c r="G3417" s="5">
        <v>54789</v>
      </c>
      <c r="H3417" s="4" t="str">
        <f>""</f>
        <v/>
      </c>
      <c r="I3417" s="4" t="str">
        <f>""</f>
        <v/>
      </c>
    </row>
    <row r="3418" spans="1:9" x14ac:dyDescent="0.3">
      <c r="A3418" s="1" t="str">
        <f>"91"</f>
        <v>91</v>
      </c>
      <c r="B3418" s="4" t="str">
        <f>"DEM'S AUTOS France"</f>
        <v>DEM'S AUTOS France</v>
      </c>
      <c r="C3418" s="4">
        <v>341273332</v>
      </c>
      <c r="D3418" s="3" t="s">
        <v>0</v>
      </c>
      <c r="E3418" s="2" t="str">
        <f>"0006520091"</f>
        <v>0006520091</v>
      </c>
      <c r="F3418" s="5">
        <v>42907</v>
      </c>
      <c r="G3418" s="5">
        <v>54789</v>
      </c>
      <c r="H3418" s="4" t="str">
        <f>""</f>
        <v/>
      </c>
      <c r="I3418" s="4" t="str">
        <f>""</f>
        <v/>
      </c>
    </row>
    <row r="3419" spans="1:9" x14ac:dyDescent="0.3">
      <c r="A3419" s="1" t="str">
        <f>"91"</f>
        <v>91</v>
      </c>
      <c r="B3419" s="4" t="str">
        <f>"ACCIMOTO"</f>
        <v>ACCIMOTO</v>
      </c>
      <c r="C3419" s="4">
        <v>391115474</v>
      </c>
      <c r="D3419" s="3" t="s">
        <v>0</v>
      </c>
      <c r="E3419" s="2" t="str">
        <f>"0006518190"</f>
        <v>0006518190</v>
      </c>
      <c r="F3419" s="5">
        <v>42360</v>
      </c>
      <c r="G3419" s="5">
        <v>54789</v>
      </c>
      <c r="H3419" s="4" t="str">
        <f>""</f>
        <v/>
      </c>
      <c r="I3419" s="4" t="str">
        <f>""</f>
        <v/>
      </c>
    </row>
    <row r="3420" spans="1:9" x14ac:dyDescent="0.3">
      <c r="A3420" s="1" t="str">
        <f>"91"</f>
        <v>91</v>
      </c>
      <c r="B3420" s="4" t="str">
        <f>"ACCIMOTO"</f>
        <v>ACCIMOTO</v>
      </c>
      <c r="C3420" s="4">
        <v>391115474</v>
      </c>
      <c r="D3420" s="3" t="s">
        <v>0</v>
      </c>
      <c r="E3420" s="2" t="str">
        <f>"PR9100022D"</f>
        <v>PR9100022D</v>
      </c>
      <c r="F3420" s="5">
        <v>42360</v>
      </c>
      <c r="G3420" s="5">
        <v>54789</v>
      </c>
      <c r="H3420" s="4" t="str">
        <f>""</f>
        <v/>
      </c>
      <c r="I3420" s="4" t="str">
        <f>""</f>
        <v/>
      </c>
    </row>
    <row r="3421" spans="1:9" x14ac:dyDescent="0.3">
      <c r="A3421" s="1" t="str">
        <f>"91"</f>
        <v>91</v>
      </c>
      <c r="B3421" s="4" t="str">
        <f>"ALLO CARS CASSE"</f>
        <v>ALLO CARS CASSE</v>
      </c>
      <c r="C3421" s="4">
        <v>395198682</v>
      </c>
      <c r="D3421" s="3" t="s">
        <v>0</v>
      </c>
      <c r="E3421" s="2" t="str">
        <f>"PR9100013D"</f>
        <v>PR9100013D</v>
      </c>
      <c r="F3421" s="5">
        <v>39477</v>
      </c>
      <c r="G3421" s="5">
        <v>54789</v>
      </c>
      <c r="H3421" s="4" t="str">
        <f>""</f>
        <v/>
      </c>
      <c r="I3421" s="4" t="str">
        <f>""</f>
        <v/>
      </c>
    </row>
    <row r="3422" spans="1:9" x14ac:dyDescent="0.3">
      <c r="A3422" s="1" t="str">
        <f>"91"</f>
        <v>91</v>
      </c>
      <c r="B3422" s="4" t="str">
        <f>"ANTONELLI DOMENICO"</f>
        <v>ANTONELLI DOMENICO</v>
      </c>
      <c r="C3422" s="4">
        <v>398221226</v>
      </c>
      <c r="D3422" s="3" t="s">
        <v>0</v>
      </c>
      <c r="E3422" s="2" t="str">
        <f>"PR9100016D"</f>
        <v>PR9100016D</v>
      </c>
      <c r="F3422" s="5">
        <v>40869</v>
      </c>
      <c r="G3422" s="5">
        <v>54789</v>
      </c>
      <c r="H3422" s="4" t="str">
        <f>""</f>
        <v/>
      </c>
      <c r="I3422" s="4" t="str">
        <f>""</f>
        <v/>
      </c>
    </row>
    <row r="3423" spans="1:9" x14ac:dyDescent="0.3">
      <c r="A3423" s="1" t="str">
        <f>"91"</f>
        <v>91</v>
      </c>
      <c r="B3423" s="4" t="str">
        <f>"ANTONELLI DOMENICO"</f>
        <v>ANTONELLI DOMENICO</v>
      </c>
      <c r="C3423" s="4">
        <v>398221226</v>
      </c>
      <c r="D3423" s="3" t="s">
        <v>0</v>
      </c>
      <c r="E3423" s="2" t="str">
        <f>"0006513752"</f>
        <v>0006513752</v>
      </c>
      <c r="F3423" s="5">
        <v>43059</v>
      </c>
      <c r="G3423" s="5">
        <v>54789</v>
      </c>
      <c r="H3423" s="4" t="str">
        <f>""</f>
        <v/>
      </c>
      <c r="I3423" s="4" t="str">
        <f>""</f>
        <v/>
      </c>
    </row>
    <row r="3424" spans="1:9" x14ac:dyDescent="0.3">
      <c r="A3424" s="1" t="str">
        <f>"91"</f>
        <v>91</v>
      </c>
      <c r="B3424" s="4" t="str">
        <f>"SPRA"</f>
        <v>SPRA</v>
      </c>
      <c r="C3424" s="4">
        <v>417696226</v>
      </c>
      <c r="D3424" s="3" t="s">
        <v>0</v>
      </c>
      <c r="E3424" s="2" t="str">
        <f>"PR9100014D"</f>
        <v>PR9100014D</v>
      </c>
      <c r="F3424" s="5">
        <v>45106</v>
      </c>
      <c r="G3424" s="5">
        <v>54789</v>
      </c>
      <c r="H3424" s="4" t="str">
        <f>""</f>
        <v/>
      </c>
      <c r="I3424" s="4" t="str">
        <f>""</f>
        <v/>
      </c>
    </row>
    <row r="3425" spans="1:9" x14ac:dyDescent="0.3">
      <c r="A3425" s="1" t="str">
        <f>"91"</f>
        <v>91</v>
      </c>
      <c r="B3425" s="4" t="str">
        <f>"VARENNES PIECES AUTOS"</f>
        <v>VARENNES PIECES AUTOS</v>
      </c>
      <c r="C3425" s="4">
        <v>420211658</v>
      </c>
      <c r="D3425" s="3" t="s">
        <v>0</v>
      </c>
      <c r="E3425" s="2" t="str">
        <f>"0006505063"</f>
        <v>0006505063</v>
      </c>
      <c r="F3425" s="5">
        <v>43537</v>
      </c>
      <c r="G3425" s="5">
        <v>54789</v>
      </c>
      <c r="H3425" s="4" t="str">
        <f>""</f>
        <v/>
      </c>
      <c r="I3425" s="4" t="str">
        <f>""</f>
        <v/>
      </c>
    </row>
    <row r="3426" spans="1:9" x14ac:dyDescent="0.3">
      <c r="A3426" s="1" t="str">
        <f>"91"</f>
        <v>91</v>
      </c>
      <c r="B3426" s="4" t="str">
        <f>"VARENNES PIECES AUTOS"</f>
        <v>VARENNES PIECES AUTOS</v>
      </c>
      <c r="C3426" s="4">
        <v>420211658</v>
      </c>
      <c r="D3426" s="3" t="s">
        <v>0</v>
      </c>
      <c r="E3426" s="2" t="str">
        <f>"PR9100006D"</f>
        <v>PR9100006D</v>
      </c>
      <c r="F3426" s="5">
        <v>41380</v>
      </c>
      <c r="G3426" s="5">
        <v>54789</v>
      </c>
      <c r="H3426" s="4" t="str">
        <f>""</f>
        <v/>
      </c>
      <c r="I3426" s="4" t="str">
        <f>""</f>
        <v/>
      </c>
    </row>
    <row r="3427" spans="1:9" x14ac:dyDescent="0.3">
      <c r="A3427" s="1" t="str">
        <f>"91"</f>
        <v>91</v>
      </c>
      <c r="B3427" s="4" t="str">
        <f>"PIECES AUTO DULIN"</f>
        <v>PIECES AUTO DULIN</v>
      </c>
      <c r="C3427" s="4">
        <v>444182166</v>
      </c>
      <c r="D3427" s="3" t="s">
        <v>0</v>
      </c>
      <c r="E3427" s="2" t="str">
        <f>"PR9100012D"</f>
        <v>PR9100012D</v>
      </c>
      <c r="F3427" s="5">
        <v>42307</v>
      </c>
      <c r="G3427" s="5">
        <v>54789</v>
      </c>
      <c r="H3427" s="4" t="str">
        <f>""</f>
        <v/>
      </c>
      <c r="I3427" s="4" t="str">
        <f>""</f>
        <v/>
      </c>
    </row>
    <row r="3428" spans="1:9" x14ac:dyDescent="0.3">
      <c r="A3428" s="1" t="str">
        <f>"91"</f>
        <v>91</v>
      </c>
      <c r="B3428" s="4" t="str">
        <f>"PIECES AUTO DULIN"</f>
        <v>PIECES AUTO DULIN</v>
      </c>
      <c r="C3428" s="4">
        <v>444182166</v>
      </c>
      <c r="D3428" s="3" t="s">
        <v>0</v>
      </c>
      <c r="E3428" s="2" t="str">
        <f>"0006512208"</f>
        <v>0006512208</v>
      </c>
      <c r="F3428" s="5">
        <v>42656</v>
      </c>
      <c r="G3428" s="5">
        <v>54789</v>
      </c>
      <c r="H3428" s="4" t="str">
        <f>""</f>
        <v/>
      </c>
      <c r="I3428" s="4" t="str">
        <f>""</f>
        <v/>
      </c>
    </row>
    <row r="3429" spans="1:9" x14ac:dyDescent="0.3">
      <c r="A3429" s="1" t="str">
        <f>"91"</f>
        <v>91</v>
      </c>
      <c r="B3429" s="4" t="str">
        <f>"CARMOTEX"</f>
        <v>CARMOTEX</v>
      </c>
      <c r="C3429" s="4">
        <v>450412739</v>
      </c>
      <c r="D3429" s="3" t="s">
        <v>0</v>
      </c>
      <c r="E3429" s="2" t="str">
        <f>"PR9100015D"</f>
        <v>PR9100015D</v>
      </c>
      <c r="F3429" s="5">
        <v>40750</v>
      </c>
      <c r="G3429" s="5">
        <v>54789</v>
      </c>
      <c r="H3429" s="4" t="str">
        <f>""</f>
        <v/>
      </c>
      <c r="I3429" s="4" t="str">
        <f>""</f>
        <v/>
      </c>
    </row>
    <row r="3430" spans="1:9" x14ac:dyDescent="0.3">
      <c r="A3430" s="1" t="str">
        <f>"91"</f>
        <v>91</v>
      </c>
      <c r="B3430" s="4" t="str">
        <f>"CARMOTEX"</f>
        <v>CARMOTEX</v>
      </c>
      <c r="C3430" s="4">
        <v>450412739</v>
      </c>
      <c r="D3430" s="3" t="s">
        <v>0</v>
      </c>
      <c r="E3430" s="2" t="str">
        <f>"0006504550"</f>
        <v>0006504550</v>
      </c>
      <c r="F3430" s="5">
        <v>42898</v>
      </c>
      <c r="G3430" s="5">
        <v>54789</v>
      </c>
      <c r="H3430" s="4" t="str">
        <f>""</f>
        <v/>
      </c>
      <c r="I3430" s="4" t="str">
        <f>""</f>
        <v/>
      </c>
    </row>
    <row r="3431" spans="1:9" x14ac:dyDescent="0.3">
      <c r="A3431" s="1" t="str">
        <f>"91"</f>
        <v>91</v>
      </c>
      <c r="B3431" s="4" t="str">
        <f>"SUPERMARCHE DE LA PIECE AUTOMOBILE"</f>
        <v>SUPERMARCHE DE LA PIECE AUTOMOBILE</v>
      </c>
      <c r="C3431" s="4">
        <v>478215908</v>
      </c>
      <c r="D3431" s="3" t="s">
        <v>0</v>
      </c>
      <c r="E3431" s="2" t="str">
        <f>"PR9100005D"</f>
        <v>PR9100005D</v>
      </c>
      <c r="F3431" s="5">
        <v>44621</v>
      </c>
      <c r="G3431" s="5">
        <v>54789</v>
      </c>
      <c r="H3431" s="4" t="str">
        <f>""</f>
        <v/>
      </c>
      <c r="I3431" s="4" t="str">
        <f>""</f>
        <v/>
      </c>
    </row>
    <row r="3432" spans="1:9" x14ac:dyDescent="0.3">
      <c r="A3432" s="1" t="str">
        <f>"91"</f>
        <v>91</v>
      </c>
      <c r="B3432" s="4" t="str">
        <f>"SUPERMARCHE DE LA PIECE AUTOMOBILE"</f>
        <v>SUPERMARCHE DE LA PIECE AUTOMOBILE</v>
      </c>
      <c r="C3432" s="4">
        <v>478215908</v>
      </c>
      <c r="D3432" s="3" t="s">
        <v>0</v>
      </c>
      <c r="E3432" s="2" t="str">
        <f>"0006503963"</f>
        <v>0006503963</v>
      </c>
      <c r="F3432" s="5">
        <v>44621</v>
      </c>
      <c r="G3432" s="5">
        <v>54789</v>
      </c>
      <c r="H3432" s="4" t="str">
        <f>""</f>
        <v/>
      </c>
      <c r="I3432" s="4" t="str">
        <f>""</f>
        <v/>
      </c>
    </row>
    <row r="3433" spans="1:9" x14ac:dyDescent="0.3">
      <c r="A3433" s="1" t="str">
        <f>"91"</f>
        <v>91</v>
      </c>
      <c r="B3433" s="4" t="str">
        <f>"JOC AUTO"</f>
        <v>JOC AUTO</v>
      </c>
      <c r="C3433" s="4">
        <v>489448530</v>
      </c>
      <c r="D3433" s="3" t="s">
        <v>0</v>
      </c>
      <c r="E3433" s="2" t="str">
        <f>"PR9100018D"</f>
        <v>PR9100018D</v>
      </c>
      <c r="F3433" s="5">
        <v>44013</v>
      </c>
      <c r="G3433" s="5">
        <v>54789</v>
      </c>
      <c r="H3433" s="4" t="str">
        <f>""</f>
        <v/>
      </c>
      <c r="I3433" s="4" t="str">
        <f>""</f>
        <v/>
      </c>
    </row>
    <row r="3434" spans="1:9" x14ac:dyDescent="0.3">
      <c r="A3434" s="1" t="str">
        <f>"91"</f>
        <v>91</v>
      </c>
      <c r="B3434" s="4" t="str">
        <f>"LINA AUTO SERVICES"</f>
        <v>LINA AUTO SERVICES</v>
      </c>
      <c r="C3434" s="4">
        <v>500287982</v>
      </c>
      <c r="D3434" s="3" t="s">
        <v>0</v>
      </c>
      <c r="E3434" s="2" t="str">
        <f>"PR9100021D"</f>
        <v>PR9100021D</v>
      </c>
      <c r="F3434" s="5">
        <v>42521</v>
      </c>
      <c r="G3434" s="5">
        <v>54789</v>
      </c>
      <c r="H3434" s="4" t="str">
        <f>""</f>
        <v/>
      </c>
      <c r="I3434" s="4" t="str">
        <f>""</f>
        <v/>
      </c>
    </row>
    <row r="3435" spans="1:9" x14ac:dyDescent="0.3">
      <c r="A3435" s="1" t="str">
        <f>"91"</f>
        <v>91</v>
      </c>
      <c r="B3435" s="4" t="str">
        <f>"LINA AUTO SERVICES"</f>
        <v>LINA AUTO SERVICES</v>
      </c>
      <c r="C3435" s="4">
        <v>500287982</v>
      </c>
      <c r="D3435" s="3" t="s">
        <v>0</v>
      </c>
      <c r="E3435" s="2" t="str">
        <f>"0006513440"</f>
        <v>0006513440</v>
      </c>
      <c r="F3435" s="5">
        <v>42521</v>
      </c>
      <c r="G3435" s="5">
        <v>54789</v>
      </c>
      <c r="H3435" s="4" t="str">
        <f>""</f>
        <v/>
      </c>
      <c r="I3435" s="4" t="str">
        <f>""</f>
        <v/>
      </c>
    </row>
    <row r="3436" spans="1:9" x14ac:dyDescent="0.3">
      <c r="A3436" s="1" t="str">
        <f>"91"</f>
        <v>91</v>
      </c>
      <c r="B3436" s="4" t="str">
        <f>"AT LOCATION"</f>
        <v>AT LOCATION</v>
      </c>
      <c r="C3436" s="4">
        <v>519977854</v>
      </c>
      <c r="D3436" s="3" t="s">
        <v>0</v>
      </c>
      <c r="E3436" s="2" t="str">
        <f>"0006520897"</f>
        <v>0006520897</v>
      </c>
      <c r="F3436" s="5">
        <v>43454</v>
      </c>
      <c r="G3436" s="5">
        <v>54789</v>
      </c>
      <c r="H3436" s="4" t="str">
        <f>""</f>
        <v/>
      </c>
      <c r="I3436" s="4" t="str">
        <f>""</f>
        <v/>
      </c>
    </row>
    <row r="3437" spans="1:9" x14ac:dyDescent="0.3">
      <c r="A3437" s="1" t="str">
        <f>"91"</f>
        <v>91</v>
      </c>
      <c r="B3437" s="4" t="str">
        <f>"AT LOCATION"</f>
        <v>AT LOCATION</v>
      </c>
      <c r="C3437" s="4">
        <v>519977854</v>
      </c>
      <c r="D3437" s="3" t="s">
        <v>0</v>
      </c>
      <c r="E3437" s="2" t="str">
        <f>"PR9100029D"</f>
        <v>PR9100029D</v>
      </c>
      <c r="F3437" s="5">
        <v>43454</v>
      </c>
      <c r="G3437" s="5">
        <v>54789</v>
      </c>
      <c r="H3437" s="4" t="str">
        <f>""</f>
        <v/>
      </c>
      <c r="I3437" s="4" t="str">
        <f>""</f>
        <v/>
      </c>
    </row>
    <row r="3438" spans="1:9" x14ac:dyDescent="0.3">
      <c r="A3438" s="1" t="str">
        <f>"91"</f>
        <v>91</v>
      </c>
      <c r="B3438" s="4" t="str">
        <f>"REVIVAL"</f>
        <v>REVIVAL</v>
      </c>
      <c r="C3438" s="4">
        <v>616620092</v>
      </c>
      <c r="D3438" s="3" t="s">
        <v>0</v>
      </c>
      <c r="E3438" s="2" t="str">
        <f>"PR9100027D"</f>
        <v>PR9100027D</v>
      </c>
      <c r="F3438" s="5">
        <v>43305</v>
      </c>
      <c r="G3438" s="5">
        <v>54789</v>
      </c>
      <c r="H3438" s="4" t="str">
        <f>""</f>
        <v/>
      </c>
      <c r="I3438" s="4" t="str">
        <f>""</f>
        <v/>
      </c>
    </row>
    <row r="3439" spans="1:9" x14ac:dyDescent="0.3">
      <c r="A3439" s="1" t="str">
        <f>"91"</f>
        <v>91</v>
      </c>
      <c r="B3439" s="4" t="str">
        <f>"REVIVAL"</f>
        <v>REVIVAL</v>
      </c>
      <c r="C3439" s="4">
        <v>616620092</v>
      </c>
      <c r="D3439" s="3" t="s">
        <v>0</v>
      </c>
      <c r="E3439" s="2" t="str">
        <f>"PR9100003B"</f>
        <v>PR9100003B</v>
      </c>
      <c r="F3439" s="5">
        <v>43305</v>
      </c>
      <c r="G3439" s="5">
        <v>54789</v>
      </c>
      <c r="H3439" s="4" t="str">
        <f>""</f>
        <v/>
      </c>
      <c r="I3439" s="4" t="str">
        <f>""</f>
        <v/>
      </c>
    </row>
    <row r="3440" spans="1:9" x14ac:dyDescent="0.3">
      <c r="A3440" s="1" t="str">
        <f>"91"</f>
        <v>91</v>
      </c>
      <c r="B3440" s="4" t="str">
        <f>"REVIVAL"</f>
        <v>REVIVAL</v>
      </c>
      <c r="C3440" s="4">
        <v>616620092</v>
      </c>
      <c r="D3440" s="3" t="s">
        <v>0</v>
      </c>
      <c r="E3440" s="2" t="str">
        <f>"0006509538"</f>
        <v>0006509538</v>
      </c>
      <c r="F3440" s="5">
        <v>43305</v>
      </c>
      <c r="G3440" s="5">
        <v>54789</v>
      </c>
      <c r="H3440" s="4" t="str">
        <f>""</f>
        <v/>
      </c>
      <c r="I3440" s="4" t="str">
        <f>""</f>
        <v/>
      </c>
    </row>
    <row r="3441" spans="1:9" x14ac:dyDescent="0.3">
      <c r="A3441" s="1" t="str">
        <f>"91"</f>
        <v>91</v>
      </c>
      <c r="B3441" s="4" t="str">
        <f>"LA PIECE AUTOMOBILE"</f>
        <v>LA PIECE AUTOMOBILE</v>
      </c>
      <c r="C3441" s="4">
        <v>672014321</v>
      </c>
      <c r="D3441" s="3" t="s">
        <v>0</v>
      </c>
      <c r="E3441" s="2" t="str">
        <f>"PR9100019D"</f>
        <v>PR9100019D</v>
      </c>
      <c r="F3441" s="5">
        <v>42202</v>
      </c>
      <c r="G3441" s="5">
        <v>54789</v>
      </c>
      <c r="H3441" s="4" t="str">
        <f>""</f>
        <v/>
      </c>
      <c r="I3441" s="4" t="str">
        <f>""</f>
        <v/>
      </c>
    </row>
    <row r="3442" spans="1:9" x14ac:dyDescent="0.3">
      <c r="A3442" s="1" t="str">
        <f>"91"</f>
        <v>91</v>
      </c>
      <c r="B3442" s="4" t="str">
        <f>"LA PIECE AUTOMOBILE"</f>
        <v>LA PIECE AUTOMOBILE</v>
      </c>
      <c r="C3442" s="4">
        <v>672014321</v>
      </c>
      <c r="D3442" s="3" t="s">
        <v>0</v>
      </c>
      <c r="E3442" s="2" t="str">
        <f>"PR9100011D"</f>
        <v>PR9100011D</v>
      </c>
      <c r="F3442" s="5">
        <v>38811</v>
      </c>
      <c r="G3442" s="5">
        <v>54789</v>
      </c>
      <c r="H3442" s="4" t="str">
        <f>""</f>
        <v/>
      </c>
      <c r="I3442" s="4" t="str">
        <f>""</f>
        <v/>
      </c>
    </row>
    <row r="3443" spans="1:9" x14ac:dyDescent="0.3">
      <c r="A3443" s="1" t="str">
        <f>"91"</f>
        <v>91</v>
      </c>
      <c r="B3443" s="4" t="str">
        <f>"LA PIECE AUTOMOBILE"</f>
        <v>LA PIECE AUTOMOBILE</v>
      </c>
      <c r="C3443" s="4">
        <v>672014321</v>
      </c>
      <c r="D3443" s="3" t="s">
        <v>0</v>
      </c>
      <c r="E3443" s="2" t="str">
        <f>"0006511508"</f>
        <v>0006511508</v>
      </c>
      <c r="F3443" s="5">
        <v>43383</v>
      </c>
      <c r="G3443" s="5">
        <v>54789</v>
      </c>
      <c r="H3443" s="4" t="str">
        <f>""</f>
        <v/>
      </c>
      <c r="I3443" s="4" t="str">
        <f>""</f>
        <v/>
      </c>
    </row>
    <row r="3444" spans="1:9" x14ac:dyDescent="0.3">
      <c r="A3444" s="1" t="str">
        <f>"91"</f>
        <v>91</v>
      </c>
      <c r="B3444" s="4" t="str">
        <f>"AALYAH RECYCLAGE"</f>
        <v>AALYAH RECYCLAGE</v>
      </c>
      <c r="C3444" s="4">
        <v>750012809</v>
      </c>
      <c r="D3444" s="3" t="s">
        <v>0</v>
      </c>
      <c r="E3444" s="2" t="str">
        <f>"PR9100031D"</f>
        <v>PR9100031D</v>
      </c>
      <c r="F3444" s="5">
        <v>43664</v>
      </c>
      <c r="G3444" s="5">
        <v>54789</v>
      </c>
      <c r="H3444" s="4" t="str">
        <f>""</f>
        <v/>
      </c>
      <c r="I3444" s="4" t="str">
        <f>""</f>
        <v/>
      </c>
    </row>
    <row r="3445" spans="1:9" x14ac:dyDescent="0.3">
      <c r="A3445" s="1" t="str">
        <f>"91"</f>
        <v>91</v>
      </c>
      <c r="B3445" s="4" t="str">
        <f>"AALYAH RECYCLAGE"</f>
        <v>AALYAH RECYCLAGE</v>
      </c>
      <c r="C3445" s="4">
        <v>750012809</v>
      </c>
      <c r="D3445" s="3" t="s">
        <v>0</v>
      </c>
      <c r="E3445" s="2" t="str">
        <f>"0006515189"</f>
        <v>0006515189</v>
      </c>
      <c r="F3445" s="5">
        <v>43664</v>
      </c>
      <c r="G3445" s="5">
        <v>54789</v>
      </c>
      <c r="H3445" s="4" t="str">
        <f>""</f>
        <v/>
      </c>
      <c r="I3445" s="4" t="str">
        <f>""</f>
        <v/>
      </c>
    </row>
    <row r="3446" spans="1:9" x14ac:dyDescent="0.3">
      <c r="A3446" s="1" t="str">
        <f>"91"</f>
        <v>91</v>
      </c>
      <c r="B3446" s="4" t="str">
        <f>"ALLO CASSE AUTO"</f>
        <v>ALLO CASSE AUTO</v>
      </c>
      <c r="C3446" s="4">
        <v>786510396</v>
      </c>
      <c r="D3446" s="3" t="s">
        <v>0</v>
      </c>
      <c r="E3446" s="2" t="str">
        <f>"0006503657"</f>
        <v>0006503657</v>
      </c>
      <c r="F3446" s="5">
        <v>43152</v>
      </c>
      <c r="G3446" s="5">
        <v>54789</v>
      </c>
      <c r="H3446" s="4" t="str">
        <f>""</f>
        <v/>
      </c>
      <c r="I3446" s="4" t="str">
        <f>""</f>
        <v/>
      </c>
    </row>
    <row r="3447" spans="1:9" x14ac:dyDescent="0.3">
      <c r="A3447" s="1" t="str">
        <f>"91"</f>
        <v>91</v>
      </c>
      <c r="B3447" s="4" t="str">
        <f>"ALLO CASSE AUTO"</f>
        <v>ALLO CASSE AUTO</v>
      </c>
      <c r="C3447" s="4">
        <v>786510396</v>
      </c>
      <c r="D3447" s="3" t="s">
        <v>0</v>
      </c>
      <c r="E3447" s="2" t="str">
        <f>"PR9100001D"</f>
        <v>PR9100001D</v>
      </c>
      <c r="F3447" s="5">
        <v>38769</v>
      </c>
      <c r="G3447" s="5">
        <v>54789</v>
      </c>
      <c r="H3447" s="4" t="str">
        <f>""</f>
        <v/>
      </c>
      <c r="I3447" s="4" t="str">
        <f>""</f>
        <v/>
      </c>
    </row>
    <row r="3448" spans="1:9" x14ac:dyDescent="0.3">
      <c r="A3448" s="1" t="str">
        <f>"91"</f>
        <v>91</v>
      </c>
      <c r="B3448" s="4" t="str">
        <f>"ABC NEGOCE"</f>
        <v>ABC NEGOCE</v>
      </c>
      <c r="C3448" s="4">
        <v>802592295</v>
      </c>
      <c r="D3448" s="3" t="s">
        <v>0</v>
      </c>
      <c r="E3448" s="2" t="str">
        <f>"PR9100023D"</f>
        <v>PR9100023D</v>
      </c>
      <c r="F3448" s="5">
        <v>42380</v>
      </c>
      <c r="G3448" s="5">
        <v>54789</v>
      </c>
      <c r="H3448" s="4" t="str">
        <f>""</f>
        <v/>
      </c>
      <c r="I3448" s="4" t="str">
        <f>""</f>
        <v/>
      </c>
    </row>
    <row r="3449" spans="1:9" x14ac:dyDescent="0.3">
      <c r="A3449" s="1" t="str">
        <f>"91"</f>
        <v>91</v>
      </c>
      <c r="B3449" s="4" t="str">
        <f>"ABC NEGOCE"</f>
        <v>ABC NEGOCE</v>
      </c>
      <c r="C3449" s="4">
        <v>802592295</v>
      </c>
      <c r="D3449" s="3" t="s">
        <v>0</v>
      </c>
      <c r="E3449" s="2" t="str">
        <f>"0006518698"</f>
        <v>0006518698</v>
      </c>
      <c r="F3449" s="5">
        <v>43841</v>
      </c>
      <c r="G3449" s="5">
        <v>54789</v>
      </c>
      <c r="H3449" s="4" t="str">
        <f>""</f>
        <v/>
      </c>
      <c r="I3449" s="4" t="str">
        <f>""</f>
        <v/>
      </c>
    </row>
    <row r="3450" spans="1:9" x14ac:dyDescent="0.3">
      <c r="A3450" s="1" t="str">
        <f>"91"</f>
        <v>91</v>
      </c>
      <c r="B3450" s="4" t="str">
        <f>"ALLO CARS CASSE"</f>
        <v>ALLO CARS CASSE</v>
      </c>
      <c r="C3450" s="4">
        <v>807395207</v>
      </c>
      <c r="D3450" s="3" t="s">
        <v>0</v>
      </c>
      <c r="E3450" s="2" t="str">
        <f>"PR9100013D"</f>
        <v>PR9100013D</v>
      </c>
      <c r="F3450" s="5">
        <v>42191</v>
      </c>
      <c r="G3450" s="5">
        <v>54789</v>
      </c>
      <c r="H3450" s="4" t="str">
        <f>""</f>
        <v/>
      </c>
      <c r="I3450" s="4" t="str">
        <f>""</f>
        <v/>
      </c>
    </row>
    <row r="3451" spans="1:9" x14ac:dyDescent="0.3">
      <c r="A3451" s="1" t="str">
        <f>"91"</f>
        <v>91</v>
      </c>
      <c r="B3451" s="4" t="str">
        <f>"ALLO CARS CASSE"</f>
        <v>ALLO CARS CASSE</v>
      </c>
      <c r="C3451" s="4">
        <v>807395207</v>
      </c>
      <c r="D3451" s="3" t="s">
        <v>0</v>
      </c>
      <c r="E3451" s="2" t="str">
        <f>"0006512396"</f>
        <v>0006512396</v>
      </c>
      <c r="F3451" s="5">
        <v>42191</v>
      </c>
      <c r="G3451" s="5">
        <v>54789</v>
      </c>
      <c r="H3451" s="4" t="str">
        <f>""</f>
        <v/>
      </c>
      <c r="I3451" s="4" t="str">
        <f>""</f>
        <v/>
      </c>
    </row>
    <row r="3452" spans="1:9" x14ac:dyDescent="0.3">
      <c r="A3452" s="1" t="str">
        <f>"91"</f>
        <v>91</v>
      </c>
      <c r="B3452" s="4" t="str">
        <f>"AUTODROME N20"</f>
        <v>AUTODROME N20</v>
      </c>
      <c r="C3452" s="4">
        <v>842275422</v>
      </c>
      <c r="D3452" s="3" t="s">
        <v>0</v>
      </c>
      <c r="E3452" s="2" t="str">
        <f>"0006514316"</f>
        <v>0006514316</v>
      </c>
      <c r="F3452" s="5">
        <v>43788</v>
      </c>
      <c r="G3452" s="5">
        <v>54789</v>
      </c>
      <c r="H3452" s="4" t="str">
        <f>""</f>
        <v/>
      </c>
      <c r="I3452" s="4" t="str">
        <f>""</f>
        <v/>
      </c>
    </row>
    <row r="3453" spans="1:9" x14ac:dyDescent="0.3">
      <c r="A3453" s="1" t="str">
        <f>"91"</f>
        <v>91</v>
      </c>
      <c r="B3453" s="4" t="str">
        <f>"AUTODROME N20"</f>
        <v>AUTODROME N20</v>
      </c>
      <c r="C3453" s="4">
        <v>842275422</v>
      </c>
      <c r="D3453" s="3" t="s">
        <v>0</v>
      </c>
      <c r="E3453" s="2" t="str">
        <f>"PR9100017D"</f>
        <v>PR9100017D</v>
      </c>
      <c r="F3453" s="5">
        <v>43438</v>
      </c>
      <c r="G3453" s="5">
        <v>54789</v>
      </c>
      <c r="H3453" s="4" t="str">
        <f>""</f>
        <v/>
      </c>
      <c r="I3453" s="4" t="str">
        <f>""</f>
        <v/>
      </c>
    </row>
    <row r="3454" spans="1:9" x14ac:dyDescent="0.3">
      <c r="A3454" s="1" t="str">
        <f>"91"</f>
        <v>91</v>
      </c>
      <c r="B3454" s="4" t="str">
        <f>"BENTA DEPANNAGE"</f>
        <v>BENTA DEPANNAGE</v>
      </c>
      <c r="C3454" s="4">
        <v>844461731</v>
      </c>
      <c r="D3454" s="3" t="s">
        <v>0</v>
      </c>
      <c r="E3454" s="2" t="str">
        <f>"PR9100032D"</f>
        <v>PR9100032D</v>
      </c>
      <c r="F3454" s="5">
        <v>44201</v>
      </c>
      <c r="G3454" s="5">
        <v>54789</v>
      </c>
      <c r="H3454" s="4" t="str">
        <f>""</f>
        <v/>
      </c>
      <c r="I3454" s="4" t="str">
        <f>""</f>
        <v/>
      </c>
    </row>
    <row r="3455" spans="1:9" x14ac:dyDescent="0.3">
      <c r="A3455" s="1" t="str">
        <f>"91"</f>
        <v>91</v>
      </c>
      <c r="B3455" s="4" t="str">
        <f>"NVU AUTOS"</f>
        <v>NVU AUTOS</v>
      </c>
      <c r="C3455" s="4">
        <v>890702038</v>
      </c>
      <c r="D3455" s="3" t="s">
        <v>0</v>
      </c>
      <c r="E3455" s="2" t="str">
        <f>"0006512175"</f>
        <v>0006512175</v>
      </c>
      <c r="F3455" s="5">
        <v>45125</v>
      </c>
      <c r="G3455" s="5">
        <v>54789</v>
      </c>
      <c r="H3455" s="4" t="str">
        <f>""</f>
        <v/>
      </c>
      <c r="I3455" s="4" t="str">
        <f>""</f>
        <v/>
      </c>
    </row>
    <row r="3456" spans="1:9" x14ac:dyDescent="0.3">
      <c r="A3456" s="1" t="str">
        <f>"91"</f>
        <v>91</v>
      </c>
      <c r="B3456" s="4" t="str">
        <f>"NVU AUTOS"</f>
        <v>NVU AUTOS</v>
      </c>
      <c r="C3456" s="4">
        <v>890702038</v>
      </c>
      <c r="D3456" s="3" t="s">
        <v>0</v>
      </c>
      <c r="E3456" s="2" t="str">
        <f>"PR9100034D"</f>
        <v>PR9100034D</v>
      </c>
      <c r="F3456" s="5">
        <v>45125</v>
      </c>
      <c r="G3456" s="5">
        <v>54789</v>
      </c>
      <c r="H3456" s="4" t="str">
        <f>""</f>
        <v/>
      </c>
      <c r="I3456" s="4" t="str">
        <f>""</f>
        <v/>
      </c>
    </row>
    <row r="3457" spans="1:9" x14ac:dyDescent="0.3">
      <c r="A3457" s="1" t="str">
        <f>"91"</f>
        <v>91</v>
      </c>
      <c r="B3457" s="4" t="str">
        <f>"CASSE MPA"</f>
        <v>CASSE MPA</v>
      </c>
      <c r="C3457" s="4">
        <v>894463561</v>
      </c>
      <c r="D3457" s="3" t="s">
        <v>0</v>
      </c>
      <c r="E3457" s="2" t="str">
        <f>"0006522124"</f>
        <v>0006522124</v>
      </c>
      <c r="F3457" s="5">
        <v>44417</v>
      </c>
      <c r="G3457" s="5">
        <v>54789</v>
      </c>
      <c r="H3457" s="4" t="str">
        <f>""</f>
        <v/>
      </c>
      <c r="I3457" s="4" t="str">
        <f>""</f>
        <v/>
      </c>
    </row>
    <row r="3458" spans="1:9" x14ac:dyDescent="0.3">
      <c r="A3458" s="1" t="str">
        <f>"91"</f>
        <v>91</v>
      </c>
      <c r="B3458" s="4" t="str">
        <f>"CASSE MPA"</f>
        <v>CASSE MPA</v>
      </c>
      <c r="C3458" s="4">
        <v>894463561</v>
      </c>
      <c r="D3458" s="3" t="s">
        <v>0</v>
      </c>
      <c r="E3458" s="2" t="str">
        <f>"PR9100030D"</f>
        <v>PR9100030D</v>
      </c>
      <c r="F3458" s="5">
        <v>44417</v>
      </c>
      <c r="G3458" s="5">
        <v>54789</v>
      </c>
      <c r="H3458" s="4" t="str">
        <f>""</f>
        <v/>
      </c>
      <c r="I3458" s="4" t="str">
        <f>""</f>
        <v/>
      </c>
    </row>
    <row r="3459" spans="1:9" x14ac:dyDescent="0.3">
      <c r="A3459" s="1" t="str">
        <f>"91"</f>
        <v>91</v>
      </c>
      <c r="B3459" s="4" t="str">
        <f>"NASS M AUTO"</f>
        <v>NASS M AUTO</v>
      </c>
      <c r="C3459" s="4">
        <v>908825367</v>
      </c>
      <c r="D3459" s="3" t="s">
        <v>0</v>
      </c>
      <c r="E3459" s="2" t="str">
        <f>"PR9100033D"</f>
        <v>PR9100033D</v>
      </c>
      <c r="F3459" s="5">
        <v>44980</v>
      </c>
      <c r="G3459" s="5">
        <v>54789</v>
      </c>
      <c r="H3459" s="4" t="str">
        <f>""</f>
        <v/>
      </c>
      <c r="I3459" s="4" t="str">
        <f>""</f>
        <v/>
      </c>
    </row>
    <row r="3460" spans="1:9" x14ac:dyDescent="0.3">
      <c r="A3460" s="1" t="str">
        <f>"91"</f>
        <v>91</v>
      </c>
      <c r="B3460" s="4" t="str">
        <f>"NASS M AUTO"</f>
        <v>NASS M AUTO</v>
      </c>
      <c r="C3460" s="4">
        <v>908825367</v>
      </c>
      <c r="D3460" s="3" t="s">
        <v>0</v>
      </c>
      <c r="E3460" s="2" t="str">
        <f>"0100002537"</f>
        <v>0100002537</v>
      </c>
      <c r="F3460" s="5">
        <v>44980</v>
      </c>
      <c r="G3460" s="5">
        <v>54789</v>
      </c>
      <c r="H3460" s="4" t="str">
        <f>""</f>
        <v/>
      </c>
      <c r="I3460" s="4" t="str">
        <f>""</f>
        <v/>
      </c>
    </row>
    <row r="3461" spans="1:9" x14ac:dyDescent="0.3">
      <c r="A3461" s="1" t="str">
        <f>"91"</f>
        <v>91</v>
      </c>
      <c r="B3461" s="4" t="str">
        <f>"DARDE"</f>
        <v>DARDE</v>
      </c>
      <c r="C3461" s="4">
        <v>966107021</v>
      </c>
      <c r="D3461" s="3" t="s">
        <v>0</v>
      </c>
      <c r="E3461" s="2" t="str">
        <f>"PR9100020D"</f>
        <v>PR9100020D</v>
      </c>
      <c r="F3461" s="5">
        <v>42335</v>
      </c>
      <c r="G3461" s="5">
        <v>54789</v>
      </c>
      <c r="H3461" s="4" t="str">
        <f>""</f>
        <v/>
      </c>
      <c r="I3461" s="4" t="str">
        <f>""</f>
        <v/>
      </c>
    </row>
    <row r="3462" spans="1:9" x14ac:dyDescent="0.3">
      <c r="A3462" s="1" t="str">
        <f>"91"</f>
        <v>91</v>
      </c>
      <c r="B3462" s="4" t="str">
        <f>"SOCIETE DES FERAILLES DE L'ESSONNE"</f>
        <v>SOCIETE DES FERAILLES DE L'ESSONNE</v>
      </c>
      <c r="C3462" s="4">
        <v>971204359</v>
      </c>
      <c r="D3462" s="3" t="s">
        <v>0</v>
      </c>
      <c r="E3462" s="2" t="str">
        <f>"PR9100007D"</f>
        <v>PR9100007D</v>
      </c>
      <c r="F3462" s="5">
        <v>39072</v>
      </c>
      <c r="G3462" s="5">
        <v>54789</v>
      </c>
      <c r="H3462" s="4" t="str">
        <f>""</f>
        <v/>
      </c>
      <c r="I3462" s="4" t="str">
        <f>""</f>
        <v/>
      </c>
    </row>
    <row r="3463" spans="1:9" x14ac:dyDescent="0.3">
      <c r="A3463" s="1" t="str">
        <f>"91"</f>
        <v>91</v>
      </c>
      <c r="B3463" s="4" t="str">
        <f>"SOCIETE DES FERAILLES DE L'ESSONNE"</f>
        <v>SOCIETE DES FERAILLES DE L'ESSONNE</v>
      </c>
      <c r="C3463" s="4">
        <v>971204359</v>
      </c>
      <c r="D3463" s="3" t="s">
        <v>0</v>
      </c>
      <c r="E3463" s="2" t="str">
        <f>"0006506669"</f>
        <v>0006506669</v>
      </c>
      <c r="F3463" s="5">
        <v>43456</v>
      </c>
      <c r="G3463" s="5">
        <v>54789</v>
      </c>
      <c r="H3463" s="4" t="str">
        <f>""</f>
        <v/>
      </c>
      <c r="I3463" s="4" t="str">
        <f>""</f>
        <v/>
      </c>
    </row>
    <row r="3464" spans="1:9" x14ac:dyDescent="0.3">
      <c r="A3464" s="1" t="str">
        <f>"92"</f>
        <v>92</v>
      </c>
      <c r="B3464" s="4" t="str">
        <f>"SDRA"</f>
        <v>SDRA</v>
      </c>
      <c r="C3464" s="4">
        <v>318547668</v>
      </c>
      <c r="D3464" s="3" t="s">
        <v>0</v>
      </c>
      <c r="E3464" s="2" t="str">
        <f>"PR920001D"</f>
        <v>PR920001D</v>
      </c>
      <c r="F3464" s="5">
        <v>41234</v>
      </c>
      <c r="G3464" s="5">
        <v>54789</v>
      </c>
      <c r="H3464" s="4" t="str">
        <f>""</f>
        <v/>
      </c>
      <c r="I3464" s="4" t="str">
        <f>""</f>
        <v/>
      </c>
    </row>
    <row r="3465" spans="1:9" x14ac:dyDescent="0.3">
      <c r="A3465" s="1" t="str">
        <f>"92"</f>
        <v>92</v>
      </c>
      <c r="B3465" s="4" t="str">
        <f>"AALYAH RECYCLAGE"</f>
        <v>AALYAH RECYCLAGE</v>
      </c>
      <c r="C3465" s="4">
        <v>502349392</v>
      </c>
      <c r="D3465" s="3" t="s">
        <v>0</v>
      </c>
      <c r="E3465" s="2" t="str">
        <f>"PR920006D"</f>
        <v>PR920006D</v>
      </c>
      <c r="F3465" s="5">
        <v>41649</v>
      </c>
      <c r="G3465" s="5">
        <v>54789</v>
      </c>
      <c r="H3465" s="4" t="str">
        <f>""</f>
        <v/>
      </c>
      <c r="I3465" s="4" t="str">
        <f>""</f>
        <v/>
      </c>
    </row>
    <row r="3466" spans="1:9" x14ac:dyDescent="0.3">
      <c r="A3466" s="1" t="str">
        <f>"92"</f>
        <v>92</v>
      </c>
      <c r="B3466" s="4" t="str">
        <f>"REVIVAL"</f>
        <v>REVIVAL</v>
      </c>
      <c r="C3466" s="4">
        <v>616620092</v>
      </c>
      <c r="D3466" s="3" t="s">
        <v>0</v>
      </c>
      <c r="E3466" s="2" t="str">
        <f>"PR920002B"</f>
        <v>PR920002B</v>
      </c>
      <c r="F3466" s="5">
        <v>41913</v>
      </c>
      <c r="G3466" s="5">
        <v>54789</v>
      </c>
      <c r="H3466" s="4" t="str">
        <f>""</f>
        <v/>
      </c>
      <c r="I3466" s="4" t="str">
        <f>""</f>
        <v/>
      </c>
    </row>
    <row r="3467" spans="1:9" x14ac:dyDescent="0.3">
      <c r="A3467" s="1" t="str">
        <f>"92"</f>
        <v>92</v>
      </c>
      <c r="B3467" s="4" t="str">
        <f>"REVIVAL"</f>
        <v>REVIVAL</v>
      </c>
      <c r="C3467" s="4">
        <v>616620092</v>
      </c>
      <c r="D3467" s="3" t="s">
        <v>0</v>
      </c>
      <c r="E3467" s="2" t="str">
        <f>"PR920005D"</f>
        <v>PR920005D</v>
      </c>
      <c r="F3467" s="5">
        <v>41913</v>
      </c>
      <c r="G3467" s="5">
        <v>54789</v>
      </c>
      <c r="H3467" s="4" t="str">
        <f>""</f>
        <v/>
      </c>
      <c r="I3467" s="4" t="str">
        <f>""</f>
        <v/>
      </c>
    </row>
    <row r="3468" spans="1:9" x14ac:dyDescent="0.3">
      <c r="A3468" s="1" t="str">
        <f>"92"</f>
        <v>92</v>
      </c>
      <c r="B3468" s="4" t="str">
        <f>"GUY DAUPHIN ENVIRONNEMENT"</f>
        <v>GUY DAUPHIN ENVIRONNEMENT</v>
      </c>
      <c r="C3468" s="4">
        <v>653820530</v>
      </c>
      <c r="D3468" s="3" t="s">
        <v>0</v>
      </c>
      <c r="E3468" s="2" t="str">
        <f>"PR920004D"</f>
        <v>PR920004D</v>
      </c>
      <c r="F3468" s="5">
        <v>40337</v>
      </c>
      <c r="G3468" s="5">
        <v>54789</v>
      </c>
      <c r="H3468" s="4" t="str">
        <f>""</f>
        <v/>
      </c>
      <c r="I3468" s="4" t="str">
        <f>""</f>
        <v/>
      </c>
    </row>
    <row r="3469" spans="1:9" x14ac:dyDescent="0.3">
      <c r="A3469" s="1" t="str">
        <f>"93"</f>
        <v>93</v>
      </c>
      <c r="B3469" s="4" t="str">
        <f>"PETIT FORESTIER"</f>
        <v>PETIT FORESTIER</v>
      </c>
      <c r="C3469" s="4">
        <v>300571049</v>
      </c>
      <c r="D3469" s="3" t="s">
        <v>0</v>
      </c>
      <c r="E3469" s="2" t="str">
        <f>"PR9300012D"</f>
        <v>PR9300012D</v>
      </c>
      <c r="F3469" s="5">
        <v>40479</v>
      </c>
      <c r="G3469" s="5">
        <v>54789</v>
      </c>
      <c r="H3469" s="4" t="str">
        <f>""</f>
        <v/>
      </c>
      <c r="I3469" s="4" t="str">
        <f>""</f>
        <v/>
      </c>
    </row>
    <row r="3470" spans="1:9" x14ac:dyDescent="0.3">
      <c r="A3470" s="1" t="str">
        <f>"93"</f>
        <v>93</v>
      </c>
      <c r="B3470" s="4" t="str">
        <f>"PETIT FORESTIER"</f>
        <v>PETIT FORESTIER</v>
      </c>
      <c r="C3470" s="4">
        <v>300571049</v>
      </c>
      <c r="D3470" s="3" t="s">
        <v>0</v>
      </c>
      <c r="E3470" s="2" t="str">
        <f>"0007406275"</f>
        <v>0007406275</v>
      </c>
      <c r="F3470" s="5">
        <v>40479</v>
      </c>
      <c r="G3470" s="5">
        <v>54789</v>
      </c>
      <c r="H3470" s="4" t="str">
        <f>""</f>
        <v/>
      </c>
      <c r="I3470" s="4" t="str">
        <f>""</f>
        <v/>
      </c>
    </row>
    <row r="3471" spans="1:9" x14ac:dyDescent="0.3">
      <c r="A3471" s="1" t="str">
        <f>"93"</f>
        <v>93</v>
      </c>
      <c r="B3471" s="4" t="str">
        <f>"GIA-CASS 2000"</f>
        <v>GIA-CASS 2000</v>
      </c>
      <c r="C3471" s="4">
        <v>322625765</v>
      </c>
      <c r="D3471" s="3" t="s">
        <v>0</v>
      </c>
      <c r="E3471" s="2" t="str">
        <f>"PR9300003D"</f>
        <v>PR9300003D</v>
      </c>
      <c r="F3471" s="5">
        <v>38832</v>
      </c>
      <c r="G3471" s="5">
        <v>54789</v>
      </c>
      <c r="H3471" s="4" t="str">
        <f>""</f>
        <v/>
      </c>
      <c r="I3471" s="4" t="str">
        <f>""</f>
        <v/>
      </c>
    </row>
    <row r="3472" spans="1:9" x14ac:dyDescent="0.3">
      <c r="A3472" s="1" t="str">
        <f>"93"</f>
        <v>93</v>
      </c>
      <c r="B3472" s="4" t="str">
        <f>"GIA-CASS 2000"</f>
        <v>GIA-CASS 2000</v>
      </c>
      <c r="C3472" s="4">
        <v>322625765</v>
      </c>
      <c r="D3472" s="3" t="s">
        <v>0</v>
      </c>
      <c r="E3472" s="2" t="str">
        <f>"0007404923"</f>
        <v>0007404923</v>
      </c>
      <c r="F3472" s="5">
        <v>38832</v>
      </c>
      <c r="G3472" s="5">
        <v>54789</v>
      </c>
      <c r="H3472" s="4" t="str">
        <f>""</f>
        <v/>
      </c>
      <c r="I3472" s="4" t="str">
        <f>""</f>
        <v/>
      </c>
    </row>
    <row r="3473" spans="1:9" x14ac:dyDescent="0.3">
      <c r="A3473" s="1" t="str">
        <f>"93"</f>
        <v>93</v>
      </c>
      <c r="B3473" s="4" t="str">
        <f>"KABLECO"</f>
        <v>KABLECO</v>
      </c>
      <c r="C3473" s="4">
        <v>323983973</v>
      </c>
      <c r="D3473" s="3" t="s">
        <v>0</v>
      </c>
      <c r="E3473" s="2" t="str">
        <f>"PR9300014D"</f>
        <v>PR9300014D</v>
      </c>
      <c r="F3473" s="5">
        <v>42903</v>
      </c>
      <c r="G3473" s="5">
        <v>54789</v>
      </c>
      <c r="H3473" s="4" t="str">
        <f>""</f>
        <v/>
      </c>
      <c r="I3473" s="4" t="str">
        <f>""</f>
        <v/>
      </c>
    </row>
    <row r="3474" spans="1:9" x14ac:dyDescent="0.3">
      <c r="A3474" s="1" t="str">
        <f>"93"</f>
        <v>93</v>
      </c>
      <c r="B3474" s="4" t="str">
        <f>"KABLECO"</f>
        <v>KABLECO</v>
      </c>
      <c r="C3474" s="4">
        <v>323983973</v>
      </c>
      <c r="D3474" s="3" t="s">
        <v>0</v>
      </c>
      <c r="E3474" s="2" t="str">
        <f>"0006520895"</f>
        <v>0006520895</v>
      </c>
      <c r="F3474" s="5">
        <v>42903</v>
      </c>
      <c r="G3474" s="5">
        <v>54789</v>
      </c>
      <c r="H3474" s="4" t="str">
        <f>""</f>
        <v/>
      </c>
      <c r="I3474" s="4" t="str">
        <f>""</f>
        <v/>
      </c>
    </row>
    <row r="3475" spans="1:9" x14ac:dyDescent="0.3">
      <c r="A3475" s="1" t="str">
        <f>"93"</f>
        <v>93</v>
      </c>
      <c r="B3475" s="4" t="str">
        <f>"SCAFA 93"</f>
        <v>SCAFA 93</v>
      </c>
      <c r="C3475" s="4">
        <v>326119641</v>
      </c>
      <c r="D3475" s="3" t="s">
        <v>0</v>
      </c>
      <c r="E3475" s="2" t="str">
        <f>"PR9300001D"</f>
        <v>PR9300001D</v>
      </c>
      <c r="F3475" s="5">
        <v>38832</v>
      </c>
      <c r="G3475" s="5">
        <v>54789</v>
      </c>
      <c r="H3475" s="4" t="str">
        <f>""</f>
        <v/>
      </c>
      <c r="I3475" s="4" t="str">
        <f>""</f>
        <v/>
      </c>
    </row>
    <row r="3476" spans="1:9" x14ac:dyDescent="0.3">
      <c r="A3476" s="1" t="str">
        <f>"93"</f>
        <v>93</v>
      </c>
      <c r="B3476" s="4" t="str">
        <f>"SCAFA 93"</f>
        <v>SCAFA 93</v>
      </c>
      <c r="C3476" s="4">
        <v>326119641</v>
      </c>
      <c r="D3476" s="3" t="s">
        <v>0</v>
      </c>
      <c r="E3476" s="2" t="str">
        <f>"0007404550"</f>
        <v>0007404550</v>
      </c>
      <c r="F3476" s="5">
        <v>38832</v>
      </c>
      <c r="G3476" s="5">
        <v>54789</v>
      </c>
      <c r="H3476" s="4" t="str">
        <f>""</f>
        <v/>
      </c>
      <c r="I3476" s="4" t="str">
        <f>""</f>
        <v/>
      </c>
    </row>
    <row r="3477" spans="1:9" x14ac:dyDescent="0.3">
      <c r="A3477" s="1" t="str">
        <f>"93"</f>
        <v>93</v>
      </c>
      <c r="B3477" s="4" t="str">
        <f>"CASSE DIDEROT"</f>
        <v>CASSE DIDEROT</v>
      </c>
      <c r="C3477" s="4">
        <v>392513248</v>
      </c>
      <c r="D3477" s="3" t="s">
        <v>0</v>
      </c>
      <c r="E3477" s="2" t="str">
        <f>"PR9300008D"</f>
        <v>PR9300008D</v>
      </c>
      <c r="F3477" s="5">
        <v>39513</v>
      </c>
      <c r="G3477" s="5">
        <v>54789</v>
      </c>
      <c r="H3477" s="4" t="str">
        <f>""</f>
        <v/>
      </c>
      <c r="I3477" s="4" t="str">
        <f>""</f>
        <v/>
      </c>
    </row>
    <row r="3478" spans="1:9" x14ac:dyDescent="0.3">
      <c r="A3478" s="1" t="str">
        <f>"93"</f>
        <v>93</v>
      </c>
      <c r="B3478" s="4" t="str">
        <f>"CASSE DIDEROT"</f>
        <v>CASSE DIDEROT</v>
      </c>
      <c r="C3478" s="4">
        <v>392513248</v>
      </c>
      <c r="D3478" s="3" t="s">
        <v>0</v>
      </c>
      <c r="E3478" s="2" t="str">
        <f>"0007406249"</f>
        <v>0007406249</v>
      </c>
      <c r="F3478" s="5">
        <v>39513</v>
      </c>
      <c r="G3478" s="5">
        <v>54789</v>
      </c>
      <c r="H3478" s="4" t="str">
        <f>""</f>
        <v/>
      </c>
      <c r="I3478" s="4" t="str">
        <f>""</f>
        <v/>
      </c>
    </row>
    <row r="3479" spans="1:9" x14ac:dyDescent="0.3">
      <c r="A3479" s="1" t="str">
        <f>"93"</f>
        <v>93</v>
      </c>
      <c r="B3479" s="4" t="str">
        <f>"COUDRIN SUPER MARCHE AUTOSCOUDRIN"</f>
        <v>COUDRIN SUPER MARCHE AUTOSCOUDRIN</v>
      </c>
      <c r="C3479" s="4">
        <v>394012538</v>
      </c>
      <c r="D3479" s="3" t="s">
        <v>0</v>
      </c>
      <c r="E3479" s="2" t="str">
        <f>"PR9300013D"</f>
        <v>PR9300013D</v>
      </c>
      <c r="F3479" s="5">
        <v>41240</v>
      </c>
      <c r="G3479" s="5">
        <v>54789</v>
      </c>
      <c r="H3479" s="4" t="str">
        <f>""</f>
        <v/>
      </c>
      <c r="I3479" s="4" t="str">
        <f>""</f>
        <v/>
      </c>
    </row>
    <row r="3480" spans="1:9" x14ac:dyDescent="0.3">
      <c r="A3480" s="1" t="str">
        <f>"93"</f>
        <v>93</v>
      </c>
      <c r="B3480" s="4" t="str">
        <f>"COUDRIN SUPER MARCHE AUTOSCOUDRIN"</f>
        <v>COUDRIN SUPER MARCHE AUTOSCOUDRIN</v>
      </c>
      <c r="C3480" s="4">
        <v>394012538</v>
      </c>
      <c r="D3480" s="3" t="s">
        <v>0</v>
      </c>
      <c r="E3480" s="2" t="str">
        <f>"0006515054"</f>
        <v>0006515054</v>
      </c>
      <c r="F3480" s="5">
        <v>41240</v>
      </c>
      <c r="G3480" s="5">
        <v>54789</v>
      </c>
      <c r="H3480" s="4" t="str">
        <f>""</f>
        <v/>
      </c>
      <c r="I3480" s="4" t="str">
        <f>""</f>
        <v/>
      </c>
    </row>
    <row r="3481" spans="1:9" x14ac:dyDescent="0.3">
      <c r="A3481" s="1" t="str">
        <f>"93"</f>
        <v>93</v>
      </c>
      <c r="B3481" s="4" t="str">
        <f>"APRC"</f>
        <v>APRC</v>
      </c>
      <c r="C3481" s="4">
        <v>395328800</v>
      </c>
      <c r="D3481" s="3" t="s">
        <v>0</v>
      </c>
      <c r="E3481" s="2" t="str">
        <f>"PR9300004D"</f>
        <v>PR9300004D</v>
      </c>
      <c r="F3481" s="5">
        <v>39109</v>
      </c>
      <c r="G3481" s="5">
        <v>54789</v>
      </c>
      <c r="H3481" s="4" t="str">
        <f>""</f>
        <v/>
      </c>
      <c r="I3481" s="4" t="str">
        <f>""</f>
        <v/>
      </c>
    </row>
    <row r="3482" spans="1:9" x14ac:dyDescent="0.3">
      <c r="A3482" s="1" t="str">
        <f>"93"</f>
        <v>93</v>
      </c>
      <c r="B3482" s="4" t="str">
        <f>"APRC"</f>
        <v>APRC</v>
      </c>
      <c r="C3482" s="4">
        <v>395328800</v>
      </c>
      <c r="D3482" s="3" t="s">
        <v>0</v>
      </c>
      <c r="E3482" s="2" t="str">
        <f>"0007405099"</f>
        <v>0007405099</v>
      </c>
      <c r="F3482" s="5">
        <v>39109</v>
      </c>
      <c r="G3482" s="5">
        <v>54789</v>
      </c>
      <c r="H3482" s="4" t="str">
        <f>""</f>
        <v/>
      </c>
      <c r="I3482" s="4" t="str">
        <f>""</f>
        <v/>
      </c>
    </row>
    <row r="3483" spans="1:9" x14ac:dyDescent="0.3">
      <c r="A3483" s="1" t="str">
        <f>"93"</f>
        <v>93</v>
      </c>
      <c r="B3483" s="4" t="str">
        <f>"GCP AUTO (GCPA)"</f>
        <v>GCP AUTO (GCPA)</v>
      </c>
      <c r="C3483" s="4">
        <v>400807380</v>
      </c>
      <c r="D3483" s="3" t="s">
        <v>0</v>
      </c>
      <c r="E3483" s="2" t="str">
        <f>"PR9300011D"</f>
        <v>PR9300011D</v>
      </c>
      <c r="F3483" s="5">
        <v>40031</v>
      </c>
      <c r="G3483" s="5">
        <v>54789</v>
      </c>
      <c r="H3483" s="4" t="str">
        <f>""</f>
        <v/>
      </c>
      <c r="I3483" s="4" t="str">
        <f>""</f>
        <v/>
      </c>
    </row>
    <row r="3484" spans="1:9" x14ac:dyDescent="0.3">
      <c r="A3484" s="1" t="str">
        <f>"93"</f>
        <v>93</v>
      </c>
      <c r="B3484" s="4" t="str">
        <f>"GCP AUTO (GCPA)"</f>
        <v>GCP AUTO (GCPA)</v>
      </c>
      <c r="C3484" s="4">
        <v>400807380</v>
      </c>
      <c r="D3484" s="3" t="s">
        <v>0</v>
      </c>
      <c r="E3484" s="2" t="str">
        <f>"0007408468"</f>
        <v>0007408468</v>
      </c>
      <c r="F3484" s="5">
        <v>40031</v>
      </c>
      <c r="G3484" s="5">
        <v>54789</v>
      </c>
      <c r="H3484" s="4" t="str">
        <f>""</f>
        <v/>
      </c>
      <c r="I3484" s="4" t="str">
        <f>""</f>
        <v/>
      </c>
    </row>
    <row r="3485" spans="1:9" x14ac:dyDescent="0.3">
      <c r="A3485" s="1" t="str">
        <f>"93"</f>
        <v>93</v>
      </c>
      <c r="B3485" s="4" t="str">
        <f>"GARCIA"</f>
        <v>GARCIA</v>
      </c>
      <c r="C3485" s="4">
        <v>407932243</v>
      </c>
      <c r="D3485" s="3" t="s">
        <v>0</v>
      </c>
      <c r="E3485" s="2" t="str">
        <f>"PR9300006D"</f>
        <v>PR9300006D</v>
      </c>
      <c r="F3485" s="5">
        <v>38835</v>
      </c>
      <c r="G3485" s="5">
        <v>54789</v>
      </c>
      <c r="H3485" s="4" t="str">
        <f>""</f>
        <v/>
      </c>
      <c r="I3485" s="4" t="str">
        <f>""</f>
        <v/>
      </c>
    </row>
    <row r="3486" spans="1:9" x14ac:dyDescent="0.3">
      <c r="A3486" s="1" t="str">
        <f>"93"</f>
        <v>93</v>
      </c>
      <c r="B3486" s="4" t="str">
        <f>"GARCIA"</f>
        <v>GARCIA</v>
      </c>
      <c r="C3486" s="4">
        <v>407932243</v>
      </c>
      <c r="D3486" s="3" t="s">
        <v>0</v>
      </c>
      <c r="E3486" s="2" t="str">
        <f>"0007403761"</f>
        <v>0007403761</v>
      </c>
      <c r="F3486" s="5">
        <v>38835</v>
      </c>
      <c r="G3486" s="5">
        <v>54789</v>
      </c>
      <c r="H3486" s="4" t="str">
        <f>""</f>
        <v/>
      </c>
      <c r="I3486" s="4" t="str">
        <f>""</f>
        <v/>
      </c>
    </row>
    <row r="3487" spans="1:9" x14ac:dyDescent="0.3">
      <c r="A3487" s="1" t="str">
        <f>"93"</f>
        <v>93</v>
      </c>
      <c r="B3487" s="4" t="str">
        <f>"SPRA"</f>
        <v>SPRA</v>
      </c>
      <c r="C3487" s="4">
        <v>417696226</v>
      </c>
      <c r="D3487" s="3" t="s">
        <v>0</v>
      </c>
      <c r="E3487" s="2" t="str">
        <f>"PR9300015D"</f>
        <v>PR9300015D</v>
      </c>
      <c r="F3487" s="5">
        <v>43203</v>
      </c>
      <c r="G3487" s="5">
        <v>54789</v>
      </c>
      <c r="H3487" s="4" t="str">
        <f>""</f>
        <v/>
      </c>
      <c r="I3487" s="4" t="str">
        <f>""</f>
        <v/>
      </c>
    </row>
    <row r="3488" spans="1:9" x14ac:dyDescent="0.3">
      <c r="A3488" s="1" t="str">
        <f>"93"</f>
        <v>93</v>
      </c>
      <c r="B3488" s="4" t="str">
        <f>"SPRA"</f>
        <v>SPRA</v>
      </c>
      <c r="C3488" s="4">
        <v>417696226</v>
      </c>
      <c r="D3488" s="3" t="s">
        <v>0</v>
      </c>
      <c r="E3488" s="2" t="str">
        <f>"0006520903"</f>
        <v>0006520903</v>
      </c>
      <c r="F3488" s="5">
        <v>43203</v>
      </c>
      <c r="G3488" s="5">
        <v>54789</v>
      </c>
      <c r="H3488" s="4" t="str">
        <f>""</f>
        <v/>
      </c>
      <c r="I3488" s="4" t="str">
        <f>""</f>
        <v/>
      </c>
    </row>
    <row r="3489" spans="1:9" x14ac:dyDescent="0.3">
      <c r="A3489" s="1" t="str">
        <f>"93"</f>
        <v>93</v>
      </c>
      <c r="B3489" s="4" t="str">
        <f>"OCCASOTO"</f>
        <v>OCCASOTO</v>
      </c>
      <c r="C3489" s="4">
        <v>572044188</v>
      </c>
      <c r="D3489" s="3" t="s">
        <v>0</v>
      </c>
      <c r="E3489" s="2" t="str">
        <f>"PR9300010D"</f>
        <v>PR9300010D</v>
      </c>
      <c r="F3489" s="5">
        <v>39701</v>
      </c>
      <c r="G3489" s="5">
        <v>54789</v>
      </c>
      <c r="H3489" s="4" t="str">
        <f>""</f>
        <v/>
      </c>
      <c r="I3489" s="4" t="str">
        <f>""</f>
        <v/>
      </c>
    </row>
    <row r="3490" spans="1:9" x14ac:dyDescent="0.3">
      <c r="A3490" s="1" t="str">
        <f>"93"</f>
        <v>93</v>
      </c>
      <c r="B3490" s="4" t="str">
        <f>"OCCASOTO"</f>
        <v>OCCASOTO</v>
      </c>
      <c r="C3490" s="4">
        <v>572044188</v>
      </c>
      <c r="D3490" s="3" t="s">
        <v>0</v>
      </c>
      <c r="E3490" s="2" t="str">
        <f>"0007406766"</f>
        <v>0007406766</v>
      </c>
      <c r="F3490" s="5">
        <v>39701</v>
      </c>
      <c r="G3490" s="5">
        <v>54789</v>
      </c>
      <c r="H3490" s="4" t="str">
        <f>""</f>
        <v/>
      </c>
      <c r="I3490" s="4" t="str">
        <f>""</f>
        <v/>
      </c>
    </row>
    <row r="3491" spans="1:9" x14ac:dyDescent="0.3">
      <c r="A3491" s="1" t="str">
        <f>"93"</f>
        <v>93</v>
      </c>
      <c r="B3491" s="4" t="str">
        <f>"REVIVAL (ex Bartin recycling ex Siderem)"</f>
        <v>REVIVAL (ex Bartin recycling ex Siderem)</v>
      </c>
      <c r="C3491" s="4">
        <v>616620092</v>
      </c>
      <c r="D3491" s="3" t="s">
        <v>0</v>
      </c>
      <c r="E3491" s="2" t="str">
        <f>"PR9300005D"</f>
        <v>PR9300005D</v>
      </c>
      <c r="F3491" s="5">
        <v>39174</v>
      </c>
      <c r="G3491" s="5">
        <v>54789</v>
      </c>
      <c r="H3491" s="4" t="str">
        <f>""</f>
        <v/>
      </c>
      <c r="I3491" s="4" t="str">
        <f>""</f>
        <v/>
      </c>
    </row>
    <row r="3492" spans="1:9" x14ac:dyDescent="0.3">
      <c r="A3492" s="1" t="str">
        <f>"93"</f>
        <v>93</v>
      </c>
      <c r="B3492" s="4" t="str">
        <f>"REVIVAL (ex Bartin recycling ex Siderem)"</f>
        <v>REVIVAL (ex Bartin recycling ex Siderem)</v>
      </c>
      <c r="C3492" s="4">
        <v>616620092</v>
      </c>
      <c r="D3492" s="3" t="s">
        <v>0</v>
      </c>
      <c r="E3492" s="2" t="str">
        <f>"0007403826"</f>
        <v>0007403826</v>
      </c>
      <c r="F3492" s="5">
        <v>39174</v>
      </c>
      <c r="G3492" s="5">
        <v>54789</v>
      </c>
      <c r="H3492" s="4" t="str">
        <f>""</f>
        <v/>
      </c>
      <c r="I3492" s="4" t="str">
        <f>""</f>
        <v/>
      </c>
    </row>
    <row r="3493" spans="1:9" x14ac:dyDescent="0.3">
      <c r="A3493" s="1" t="str">
        <f>"93"</f>
        <v>93</v>
      </c>
      <c r="B3493" s="4" t="str">
        <f>"REVIVAL (ex GUY DAUPHIN ENVIRONNEMENT)"</f>
        <v>REVIVAL (ex GUY DAUPHIN ENVIRONNEMENT)</v>
      </c>
      <c r="C3493" s="4">
        <v>653820530</v>
      </c>
      <c r="D3493" s="3" t="s">
        <v>0</v>
      </c>
      <c r="E3493" s="2" t="str">
        <f>"PR9300007D"</f>
        <v>PR9300007D</v>
      </c>
      <c r="F3493" s="5">
        <v>39108</v>
      </c>
      <c r="G3493" s="5">
        <v>54789</v>
      </c>
      <c r="H3493" s="4" t="str">
        <f>""</f>
        <v/>
      </c>
      <c r="I3493" s="4" t="str">
        <f>""</f>
        <v/>
      </c>
    </row>
    <row r="3494" spans="1:9" x14ac:dyDescent="0.3">
      <c r="A3494" s="1" t="str">
        <f>"93"</f>
        <v>93</v>
      </c>
      <c r="B3494" s="4" t="str">
        <f>"REVIVAL (ex GUY DAUPHIN ENVIRONNEMENT)"</f>
        <v>REVIVAL (ex GUY DAUPHIN ENVIRONNEMENT)</v>
      </c>
      <c r="C3494" s="4">
        <v>653820530</v>
      </c>
      <c r="D3494" s="3" t="s">
        <v>0</v>
      </c>
      <c r="E3494" s="2" t="str">
        <f>"0007403799"</f>
        <v>0007403799</v>
      </c>
      <c r="F3494" s="5">
        <v>39108</v>
      </c>
      <c r="G3494" s="5">
        <v>54789</v>
      </c>
      <c r="H3494" s="4" t="str">
        <f>""</f>
        <v/>
      </c>
      <c r="I3494" s="4" t="str">
        <f>""</f>
        <v/>
      </c>
    </row>
    <row r="3495" spans="1:9" x14ac:dyDescent="0.3">
      <c r="A3495" s="1" t="str">
        <f>"93"</f>
        <v>93</v>
      </c>
      <c r="B3495" s="4" t="str">
        <f>"FRANCE MOTEURS"</f>
        <v>FRANCE MOTEURS</v>
      </c>
      <c r="C3495" s="4">
        <v>827613977</v>
      </c>
      <c r="D3495" s="3" t="s">
        <v>0</v>
      </c>
      <c r="E3495" s="2" t="str">
        <f>"PR9300016D"</f>
        <v>PR9300016D</v>
      </c>
      <c r="F3495" s="5">
        <v>44271</v>
      </c>
      <c r="G3495" s="5">
        <v>54789</v>
      </c>
      <c r="H3495" s="4" t="str">
        <f>""</f>
        <v/>
      </c>
      <c r="I3495" s="4" t="str">
        <f>""</f>
        <v/>
      </c>
    </row>
    <row r="3496" spans="1:9" x14ac:dyDescent="0.3">
      <c r="A3496" s="1" t="str">
        <f>"93"</f>
        <v>93</v>
      </c>
      <c r="B3496" s="4" t="str">
        <f>"FRANCE MOTEURS"</f>
        <v>FRANCE MOTEURS</v>
      </c>
      <c r="C3496" s="4">
        <v>827613977</v>
      </c>
      <c r="D3496" s="3" t="s">
        <v>0</v>
      </c>
      <c r="E3496" s="2" t="str">
        <f>"0006524434"</f>
        <v>0006524434</v>
      </c>
      <c r="F3496" s="5">
        <v>44271</v>
      </c>
      <c r="G3496" s="5">
        <v>54789</v>
      </c>
      <c r="H3496" s="4" t="str">
        <f>""</f>
        <v/>
      </c>
      <c r="I3496" s="4" t="str">
        <f>""</f>
        <v/>
      </c>
    </row>
    <row r="3497" spans="1:9" x14ac:dyDescent="0.3">
      <c r="A3497" s="1" t="str">
        <f>"94"</f>
        <v>94</v>
      </c>
      <c r="B3497" s="4" t="str">
        <f>"3 R RODRIGUES SARL"</f>
        <v>3 R RODRIGUES SARL</v>
      </c>
      <c r="C3497" s="4">
        <v>320182660</v>
      </c>
      <c r="D3497" s="3" t="s">
        <v>0</v>
      </c>
      <c r="E3497" s="2" t="str">
        <f>"PR9400010D"</f>
        <v>PR9400010D</v>
      </c>
      <c r="F3497" s="5">
        <v>44236</v>
      </c>
      <c r="G3497" s="5">
        <v>54789</v>
      </c>
      <c r="H3497" s="4" t="str">
        <f>""</f>
        <v/>
      </c>
      <c r="I3497" s="4" t="str">
        <f>""</f>
        <v/>
      </c>
    </row>
    <row r="3498" spans="1:9" x14ac:dyDescent="0.3">
      <c r="A3498" s="1" t="str">
        <f>"94"</f>
        <v>94</v>
      </c>
      <c r="B3498" s="4" t="str">
        <f>"3 R RODRIGUES SARL"</f>
        <v>3 R RODRIGUES SARL</v>
      </c>
      <c r="C3498" s="4">
        <v>320182660</v>
      </c>
      <c r="D3498" s="3" t="s">
        <v>0</v>
      </c>
      <c r="E3498" s="2" t="str">
        <f>"0007405486"</f>
        <v>0007405486</v>
      </c>
      <c r="F3498" s="5">
        <v>44236</v>
      </c>
      <c r="G3498" s="5">
        <v>54789</v>
      </c>
      <c r="H3498" s="4" t="str">
        <f>""</f>
        <v/>
      </c>
      <c r="I3498" s="4" t="str">
        <f>""</f>
        <v/>
      </c>
    </row>
    <row r="3499" spans="1:9" x14ac:dyDescent="0.3">
      <c r="A3499" s="1" t="str">
        <f>"94"</f>
        <v>94</v>
      </c>
      <c r="B3499" s="4" t="str">
        <f>"ACTIV'AUTO"</f>
        <v>ACTIV'AUTO</v>
      </c>
      <c r="C3499" s="4">
        <v>332590389</v>
      </c>
      <c r="D3499" s="3" t="s">
        <v>0</v>
      </c>
      <c r="E3499" s="2" t="str">
        <f>"PR9400008D"</f>
        <v>PR9400008D</v>
      </c>
      <c r="F3499" s="5">
        <v>43468</v>
      </c>
      <c r="G3499" s="5">
        <v>54789</v>
      </c>
      <c r="H3499" s="4" t="str">
        <f>""</f>
        <v/>
      </c>
      <c r="I3499" s="4" t="str">
        <f>""</f>
        <v/>
      </c>
    </row>
    <row r="3500" spans="1:9" x14ac:dyDescent="0.3">
      <c r="A3500" s="1" t="str">
        <f>"94"</f>
        <v>94</v>
      </c>
      <c r="B3500" s="4" t="str">
        <f>"ACTIV'AUTO"</f>
        <v>ACTIV'AUTO</v>
      </c>
      <c r="C3500" s="4">
        <v>332590389</v>
      </c>
      <c r="D3500" s="3" t="s">
        <v>0</v>
      </c>
      <c r="E3500" s="2" t="str">
        <f>"0007405040"</f>
        <v>0007405040</v>
      </c>
      <c r="F3500" s="5">
        <v>43468</v>
      </c>
      <c r="G3500" s="5">
        <v>54789</v>
      </c>
      <c r="H3500" s="4" t="str">
        <f>""</f>
        <v/>
      </c>
      <c r="I3500" s="4" t="str">
        <f>""</f>
        <v/>
      </c>
    </row>
    <row r="3501" spans="1:9" x14ac:dyDescent="0.3">
      <c r="A3501" s="1" t="str">
        <f>"94"</f>
        <v>94</v>
      </c>
      <c r="B3501" s="4" t="str">
        <f>"5000 UTILITAIRES"</f>
        <v>5000 UTILITAIRES</v>
      </c>
      <c r="C3501" s="4">
        <v>410713937</v>
      </c>
      <c r="D3501" s="3" t="s">
        <v>0</v>
      </c>
      <c r="E3501" s="2" t="str">
        <f>"PR9400022D"</f>
        <v>PR9400022D</v>
      </c>
      <c r="F3501" s="5">
        <v>43452</v>
      </c>
      <c r="G3501" s="5">
        <v>54789</v>
      </c>
      <c r="H3501" s="4" t="str">
        <f>""</f>
        <v/>
      </c>
      <c r="I3501" s="4" t="str">
        <f>""</f>
        <v/>
      </c>
    </row>
    <row r="3502" spans="1:9" x14ac:dyDescent="0.3">
      <c r="A3502" s="1" t="str">
        <f>"94"</f>
        <v>94</v>
      </c>
      <c r="B3502" s="4" t="str">
        <f>"5000 UTILITAIRES"</f>
        <v>5000 UTILITAIRES</v>
      </c>
      <c r="C3502" s="4">
        <v>410713937</v>
      </c>
      <c r="D3502" s="3" t="s">
        <v>0</v>
      </c>
      <c r="E3502" s="2" t="str">
        <f>"0007405343"</f>
        <v>0007405343</v>
      </c>
      <c r="F3502" s="5">
        <v>43452</v>
      </c>
      <c r="G3502" s="5">
        <v>54789</v>
      </c>
      <c r="H3502" s="4" t="str">
        <f>""</f>
        <v/>
      </c>
      <c r="I3502" s="4" t="str">
        <f>""</f>
        <v/>
      </c>
    </row>
    <row r="3503" spans="1:9" x14ac:dyDescent="0.3">
      <c r="A3503" s="1" t="str">
        <f>"94"</f>
        <v>94</v>
      </c>
      <c r="B3503" s="4" t="str">
        <f>"ASSISTANCE AUTO DEPANNAGE 94"</f>
        <v>ASSISTANCE AUTO DEPANNAGE 94</v>
      </c>
      <c r="C3503" s="4">
        <v>523318996</v>
      </c>
      <c r="D3503" s="3" t="s">
        <v>0</v>
      </c>
      <c r="E3503" s="2" t="str">
        <f>"PR9400021D"</f>
        <v>PR9400021D</v>
      </c>
      <c r="F3503" s="5">
        <v>42284</v>
      </c>
      <c r="G3503" s="5">
        <v>54789</v>
      </c>
      <c r="H3503" s="4" t="str">
        <f>""</f>
        <v/>
      </c>
      <c r="I3503" s="4" t="str">
        <f>""</f>
        <v/>
      </c>
    </row>
    <row r="3504" spans="1:9" x14ac:dyDescent="0.3">
      <c r="A3504" s="1" t="str">
        <f>"94"</f>
        <v>94</v>
      </c>
      <c r="B3504" s="4" t="str">
        <f>"REVIVAL DERICHEBOURG"</f>
        <v>REVIVAL DERICHEBOURG</v>
      </c>
      <c r="C3504" s="4">
        <v>653820530</v>
      </c>
      <c r="D3504" s="3" t="s">
        <v>0</v>
      </c>
      <c r="E3504" s="2" t="str">
        <f>"PR9400018D"</f>
        <v>PR9400018D</v>
      </c>
      <c r="F3504" s="5">
        <v>45547</v>
      </c>
      <c r="G3504" s="5">
        <v>54789</v>
      </c>
      <c r="H3504" s="4" t="str">
        <f>""</f>
        <v/>
      </c>
      <c r="I3504" s="4" t="str">
        <f>""</f>
        <v/>
      </c>
    </row>
    <row r="3505" spans="1:9" x14ac:dyDescent="0.3">
      <c r="A3505" s="1" t="str">
        <f>"94"</f>
        <v>94</v>
      </c>
      <c r="B3505" s="4" t="str">
        <f>"REVIVAL DERICHEBOURG"</f>
        <v>REVIVAL DERICHEBOURG</v>
      </c>
      <c r="C3505" s="4">
        <v>653820530</v>
      </c>
      <c r="D3505" s="3" t="s">
        <v>0</v>
      </c>
      <c r="E3505" s="2" t="str">
        <f>"0007410273"</f>
        <v>0007410273</v>
      </c>
      <c r="F3505" s="5">
        <v>45547</v>
      </c>
      <c r="G3505" s="5">
        <v>54789</v>
      </c>
      <c r="H3505" s="4" t="str">
        <f>""</f>
        <v/>
      </c>
      <c r="I3505" s="4" t="str">
        <f>""</f>
        <v/>
      </c>
    </row>
    <row r="3506" spans="1:9" x14ac:dyDescent="0.3">
      <c r="A3506" s="1" t="str">
        <f>"94"</f>
        <v>94</v>
      </c>
      <c r="B3506" s="4" t="str">
        <f>"ETABLISSEMENTS ROCHE SARL"</f>
        <v>ETABLISSEMENTS ROCHE SARL</v>
      </c>
      <c r="C3506" s="4">
        <v>682026547</v>
      </c>
      <c r="D3506" s="3" t="s">
        <v>0</v>
      </c>
      <c r="E3506" s="2" t="str">
        <f>"PR9400014D"</f>
        <v>PR9400014D</v>
      </c>
      <c r="F3506" s="5">
        <v>39286</v>
      </c>
      <c r="G3506" s="5">
        <v>54789</v>
      </c>
      <c r="H3506" s="4" t="str">
        <f>""</f>
        <v/>
      </c>
      <c r="I3506" s="4" t="str">
        <f>""</f>
        <v/>
      </c>
    </row>
    <row r="3507" spans="1:9" x14ac:dyDescent="0.3">
      <c r="A3507" s="1" t="str">
        <f>"94"</f>
        <v>94</v>
      </c>
      <c r="B3507" s="4" t="str">
        <f>"ETABLISSEMENTS ROCHE SARL"</f>
        <v>ETABLISSEMENTS ROCHE SARL</v>
      </c>
      <c r="C3507" s="4">
        <v>682026547</v>
      </c>
      <c r="D3507" s="3" t="s">
        <v>0</v>
      </c>
      <c r="E3507" s="2" t="str">
        <f>"0007406755"</f>
        <v>0007406755</v>
      </c>
      <c r="F3507" s="5">
        <v>43653</v>
      </c>
      <c r="G3507" s="5">
        <v>54789</v>
      </c>
      <c r="H3507" s="4" t="str">
        <f>""</f>
        <v/>
      </c>
      <c r="I3507" s="4" t="str">
        <f>""</f>
        <v/>
      </c>
    </row>
    <row r="3508" spans="1:9" x14ac:dyDescent="0.3">
      <c r="A3508" s="1" t="str">
        <f>"94"</f>
        <v>94</v>
      </c>
      <c r="B3508" s="4" t="str">
        <f>"CASSE AUTOMOBILE RAPHAEL FALLONE"</f>
        <v>CASSE AUTOMOBILE RAPHAEL FALLONE</v>
      </c>
      <c r="C3508" s="4">
        <v>711027235</v>
      </c>
      <c r="D3508" s="3" t="s">
        <v>0</v>
      </c>
      <c r="E3508" s="2" t="str">
        <f>"PR9400016D"</f>
        <v>PR9400016D</v>
      </c>
      <c r="F3508" s="5">
        <v>39832</v>
      </c>
      <c r="G3508" s="5">
        <v>54789</v>
      </c>
      <c r="H3508" s="4" t="str">
        <f>""</f>
        <v/>
      </c>
      <c r="I3508" s="4" t="str">
        <f>""</f>
        <v/>
      </c>
    </row>
    <row r="3509" spans="1:9" x14ac:dyDescent="0.3">
      <c r="A3509" s="1" t="str">
        <f>"94"</f>
        <v>94</v>
      </c>
      <c r="B3509" s="4" t="str">
        <f>"CASSE AUTOMOBILE RAPHAEL FALLONE"</f>
        <v>CASSE AUTOMOBILE RAPHAEL FALLONE</v>
      </c>
      <c r="C3509" s="4">
        <v>711027235</v>
      </c>
      <c r="D3509" s="3" t="s">
        <v>0</v>
      </c>
      <c r="E3509" s="2" t="str">
        <f>"0007408215"</f>
        <v>0007408215</v>
      </c>
      <c r="F3509" s="5">
        <v>41926</v>
      </c>
      <c r="G3509" s="5">
        <v>54789</v>
      </c>
      <c r="H3509" s="4" t="str">
        <f>""</f>
        <v/>
      </c>
      <c r="I3509" s="4" t="str">
        <f>""</f>
        <v/>
      </c>
    </row>
    <row r="3510" spans="1:9" x14ac:dyDescent="0.3">
      <c r="A3510" s="1" t="str">
        <f>"94"</f>
        <v>94</v>
      </c>
      <c r="B3510" s="4" t="str">
        <f>"ASSOCIATION AFORPA"</f>
        <v>ASSOCIATION AFORPA</v>
      </c>
      <c r="C3510" s="4">
        <v>784662553</v>
      </c>
      <c r="D3510" s="3" t="s">
        <v>0</v>
      </c>
      <c r="E3510" s="2" t="str">
        <f>"PR9400023D"</f>
        <v>PR9400023D</v>
      </c>
      <c r="F3510" s="5">
        <v>43818</v>
      </c>
      <c r="G3510" s="5">
        <v>54789</v>
      </c>
      <c r="H3510" s="4" t="str">
        <f>""</f>
        <v/>
      </c>
      <c r="I3510" s="4" t="str">
        <f>""</f>
        <v/>
      </c>
    </row>
    <row r="3511" spans="1:9" x14ac:dyDescent="0.3">
      <c r="A3511" s="1" t="str">
        <f>"94"</f>
        <v>94</v>
      </c>
      <c r="B3511" s="4" t="str">
        <f>"ASSOCIATION AFORPA"</f>
        <v>ASSOCIATION AFORPA</v>
      </c>
      <c r="C3511" s="4">
        <v>784662553</v>
      </c>
      <c r="D3511" s="3" t="s">
        <v>0</v>
      </c>
      <c r="E3511" s="2" t="str">
        <f>"0006522743"</f>
        <v>0006522743</v>
      </c>
      <c r="F3511" s="5">
        <v>43818</v>
      </c>
      <c r="G3511" s="5">
        <v>54789</v>
      </c>
      <c r="H3511" s="4" t="str">
        <f>""</f>
        <v/>
      </c>
      <c r="I3511" s="4" t="str">
        <f>""</f>
        <v/>
      </c>
    </row>
    <row r="3512" spans="1:9" x14ac:dyDescent="0.3">
      <c r="A3512" s="1" t="str">
        <f>"95"</f>
        <v>95</v>
      </c>
      <c r="B3512" s="4" t="str">
        <f>"SOCIETE D'EXPLOITATION AUTOMOBILE"</f>
        <v>SOCIETE D'EXPLOITATION AUTOMOBILE</v>
      </c>
      <c r="C3512" s="4">
        <v>302654231</v>
      </c>
      <c r="D3512" s="3" t="s">
        <v>0</v>
      </c>
      <c r="E3512" s="2" t="str">
        <f>"PR9500003D"</f>
        <v>PR9500003D</v>
      </c>
      <c r="F3512" s="5">
        <v>41089</v>
      </c>
      <c r="G3512" s="5">
        <v>54789</v>
      </c>
      <c r="H3512" s="4" t="str">
        <f>""</f>
        <v/>
      </c>
      <c r="I3512" s="4" t="str">
        <f>""</f>
        <v/>
      </c>
    </row>
    <row r="3513" spans="1:9" x14ac:dyDescent="0.3">
      <c r="A3513" s="1" t="str">
        <f>"95"</f>
        <v>95</v>
      </c>
      <c r="B3513" s="4" t="str">
        <f>"SOCIETE D'EXPLOITATION AUTOMOBILE"</f>
        <v>SOCIETE D'EXPLOITATION AUTOMOBILE</v>
      </c>
      <c r="C3513" s="4">
        <v>302654231</v>
      </c>
      <c r="D3513" s="3" t="s">
        <v>0</v>
      </c>
      <c r="E3513" s="2" t="str">
        <f>"0006505786"</f>
        <v>0006505786</v>
      </c>
      <c r="F3513" s="5">
        <v>38860</v>
      </c>
      <c r="G3513" s="5">
        <v>54789</v>
      </c>
      <c r="H3513" s="4" t="str">
        <f>""</f>
        <v/>
      </c>
      <c r="I3513" s="4" t="str">
        <f>""</f>
        <v/>
      </c>
    </row>
    <row r="3514" spans="1:9" x14ac:dyDescent="0.3">
      <c r="A3514" s="1" t="str">
        <f>"95"</f>
        <v>95</v>
      </c>
      <c r="B3514" s="4" t="str">
        <f>"AUTO 2001"</f>
        <v>AUTO 2001</v>
      </c>
      <c r="C3514" s="4">
        <v>309246437</v>
      </c>
      <c r="D3514" s="3" t="s">
        <v>0</v>
      </c>
      <c r="E3514" s="2" t="str">
        <f>"PR9500001B"</f>
        <v>PR9500001B</v>
      </c>
      <c r="F3514" s="5">
        <v>44161</v>
      </c>
      <c r="G3514" s="5">
        <v>54789</v>
      </c>
      <c r="H3514" s="4" t="str">
        <f>""</f>
        <v/>
      </c>
      <c r="I3514" s="4" t="str">
        <f>""</f>
        <v/>
      </c>
    </row>
    <row r="3515" spans="1:9" x14ac:dyDescent="0.3">
      <c r="A3515" s="1" t="str">
        <f>"95"</f>
        <v>95</v>
      </c>
      <c r="B3515" s="4" t="str">
        <f>"AUTO 2001"</f>
        <v>AUTO 2001</v>
      </c>
      <c r="C3515" s="4">
        <v>309246437</v>
      </c>
      <c r="D3515" s="3" t="s">
        <v>0</v>
      </c>
      <c r="E3515" s="2" t="str">
        <f>"0006508470"</f>
        <v>0006508470</v>
      </c>
      <c r="F3515" s="5">
        <v>41130</v>
      </c>
      <c r="G3515" s="5">
        <v>54789</v>
      </c>
      <c r="H3515" s="4" t="str">
        <f>""</f>
        <v/>
      </c>
      <c r="I3515" s="4" t="str">
        <f>""</f>
        <v/>
      </c>
    </row>
    <row r="3516" spans="1:9" x14ac:dyDescent="0.3">
      <c r="A3516" s="1" t="str">
        <f>"95"</f>
        <v>95</v>
      </c>
      <c r="B3516" s="4" t="str">
        <f>"AUTO 2001"</f>
        <v>AUTO 2001</v>
      </c>
      <c r="C3516" s="4">
        <v>309246437</v>
      </c>
      <c r="D3516" s="3" t="s">
        <v>0</v>
      </c>
      <c r="E3516" s="2" t="str">
        <f>"PR9500013D"</f>
        <v>PR9500013D</v>
      </c>
      <c r="F3516" s="5">
        <v>39581</v>
      </c>
      <c r="G3516" s="5">
        <v>54789</v>
      </c>
      <c r="H3516" s="4" t="str">
        <f>""</f>
        <v/>
      </c>
      <c r="I3516" s="4" t="str">
        <f>""</f>
        <v/>
      </c>
    </row>
    <row r="3517" spans="1:9" x14ac:dyDescent="0.3">
      <c r="A3517" s="1" t="str">
        <f>"95"</f>
        <v>95</v>
      </c>
      <c r="B3517" s="4" t="str">
        <f>"BEA CARECO"</f>
        <v>BEA CARECO</v>
      </c>
      <c r="C3517" s="4">
        <v>313564841</v>
      </c>
      <c r="D3517" s="3" t="s">
        <v>0</v>
      </c>
      <c r="E3517" s="2" t="str">
        <f>"0006521761"</f>
        <v>0006521761</v>
      </c>
      <c r="F3517" s="5">
        <v>44018</v>
      </c>
      <c r="G3517" s="5">
        <v>54789</v>
      </c>
      <c r="H3517" s="4" t="str">
        <f>""</f>
        <v/>
      </c>
      <c r="I3517" s="4" t="str">
        <f>""</f>
        <v/>
      </c>
    </row>
    <row r="3518" spans="1:9" x14ac:dyDescent="0.3">
      <c r="A3518" s="1" t="str">
        <f>"95"</f>
        <v>95</v>
      </c>
      <c r="B3518" s="4" t="str">
        <f>"BEA CARECO"</f>
        <v>BEA CARECO</v>
      </c>
      <c r="C3518" s="4">
        <v>313564841</v>
      </c>
      <c r="D3518" s="3" t="s">
        <v>0</v>
      </c>
      <c r="E3518" s="2" t="str">
        <f>"PR9500026D"</f>
        <v>PR9500026D</v>
      </c>
      <c r="F3518" s="5">
        <v>44018</v>
      </c>
      <c r="G3518" s="5">
        <v>54789</v>
      </c>
      <c r="H3518" s="4" t="str">
        <f>""</f>
        <v/>
      </c>
      <c r="I3518" s="4" t="str">
        <f>""</f>
        <v/>
      </c>
    </row>
    <row r="3519" spans="1:9" x14ac:dyDescent="0.3">
      <c r="A3519" s="1" t="str">
        <f>"95"</f>
        <v>95</v>
      </c>
      <c r="B3519" s="4" t="str">
        <f>"CORDEBAR"</f>
        <v>CORDEBAR</v>
      </c>
      <c r="C3519" s="4">
        <v>318977923</v>
      </c>
      <c r="D3519" s="3" t="s">
        <v>0</v>
      </c>
      <c r="E3519" s="2" t="str">
        <f>"0006512394"</f>
        <v>0006512394</v>
      </c>
      <c r="F3519" s="5">
        <v>39741</v>
      </c>
      <c r="G3519" s="5">
        <v>54789</v>
      </c>
      <c r="H3519" s="4" t="str">
        <f>""</f>
        <v/>
      </c>
      <c r="I3519" s="4" t="str">
        <f>""</f>
        <v/>
      </c>
    </row>
    <row r="3520" spans="1:9" x14ac:dyDescent="0.3">
      <c r="A3520" s="1" t="str">
        <f>"95"</f>
        <v>95</v>
      </c>
      <c r="B3520" s="4" t="str">
        <f>"CORDEBAR"</f>
        <v>CORDEBAR</v>
      </c>
      <c r="C3520" s="4">
        <v>318977923</v>
      </c>
      <c r="D3520" s="3" t="s">
        <v>0</v>
      </c>
      <c r="E3520" s="2" t="str">
        <f>"PR9500015D"</f>
        <v>PR9500015D</v>
      </c>
      <c r="F3520" s="5">
        <v>39741</v>
      </c>
      <c r="G3520" s="5">
        <v>54789</v>
      </c>
      <c r="H3520" s="4" t="str">
        <f>""</f>
        <v/>
      </c>
      <c r="I3520" s="4" t="str">
        <f>""</f>
        <v/>
      </c>
    </row>
    <row r="3521" spans="1:9" x14ac:dyDescent="0.3">
      <c r="A3521" s="1" t="str">
        <f>"95"</f>
        <v>95</v>
      </c>
      <c r="B3521" s="4" t="str">
        <f>"LE GARAGE DU GAULOIS"</f>
        <v>LE GARAGE DU GAULOIS</v>
      </c>
      <c r="C3521" s="4">
        <v>324468719</v>
      </c>
      <c r="D3521" s="3" t="s">
        <v>0</v>
      </c>
      <c r="E3521" s="2" t="str">
        <f>"0006524965"</f>
        <v>0006524965</v>
      </c>
      <c r="F3521" s="5">
        <v>44483</v>
      </c>
      <c r="G3521" s="5">
        <v>54789</v>
      </c>
      <c r="H3521" s="4" t="str">
        <f>""</f>
        <v/>
      </c>
      <c r="I3521" s="4" t="str">
        <f>""</f>
        <v/>
      </c>
    </row>
    <row r="3522" spans="1:9" x14ac:dyDescent="0.3">
      <c r="A3522" s="1" t="str">
        <f>"95"</f>
        <v>95</v>
      </c>
      <c r="B3522" s="4" t="str">
        <f>"LE GARAGE DU GAULOIS"</f>
        <v>LE GARAGE DU GAULOIS</v>
      </c>
      <c r="C3522" s="4">
        <v>324468719</v>
      </c>
      <c r="D3522" s="3" t="s">
        <v>0</v>
      </c>
      <c r="E3522" s="2" t="str">
        <f>"PR9500027D"</f>
        <v>PR9500027D</v>
      </c>
      <c r="F3522" s="5">
        <v>44483</v>
      </c>
      <c r="G3522" s="5">
        <v>54789</v>
      </c>
      <c r="H3522" s="4" t="str">
        <f>""</f>
        <v/>
      </c>
      <c r="I3522" s="4" t="str">
        <f>""</f>
        <v/>
      </c>
    </row>
    <row r="3523" spans="1:9" x14ac:dyDescent="0.3">
      <c r="A3523" s="1" t="str">
        <f>"95"</f>
        <v>95</v>
      </c>
      <c r="B3523" s="4" t="str">
        <f>"MULTIMETAL"</f>
        <v>MULTIMETAL</v>
      </c>
      <c r="C3523" s="4">
        <v>338886146</v>
      </c>
      <c r="D3523" s="3" t="s">
        <v>0</v>
      </c>
      <c r="E3523" s="2" t="str">
        <f>"0006505861"</f>
        <v>0006505861</v>
      </c>
      <c r="F3523" s="5">
        <v>39609</v>
      </c>
      <c r="G3523" s="5">
        <v>54789</v>
      </c>
      <c r="H3523" s="4" t="str">
        <f>""</f>
        <v/>
      </c>
      <c r="I3523" s="4" t="str">
        <f>""</f>
        <v/>
      </c>
    </row>
    <row r="3524" spans="1:9" x14ac:dyDescent="0.3">
      <c r="A3524" s="1" t="str">
        <f>"95"</f>
        <v>95</v>
      </c>
      <c r="B3524" s="4" t="str">
        <f>"MULTIMETAL"</f>
        <v>MULTIMETAL</v>
      </c>
      <c r="C3524" s="4">
        <v>338886146</v>
      </c>
      <c r="D3524" s="3" t="s">
        <v>0</v>
      </c>
      <c r="E3524" s="2" t="str">
        <f>"PR9500014D"</f>
        <v>PR9500014D</v>
      </c>
      <c r="F3524" s="5">
        <v>39609</v>
      </c>
      <c r="G3524" s="5">
        <v>54789</v>
      </c>
      <c r="H3524" s="4" t="str">
        <f>""</f>
        <v/>
      </c>
      <c r="I3524" s="4" t="str">
        <f>""</f>
        <v/>
      </c>
    </row>
    <row r="3525" spans="1:9" x14ac:dyDescent="0.3">
      <c r="A3525" s="1" t="str">
        <f>"95"</f>
        <v>95</v>
      </c>
      <c r="B3525" s="4" t="str">
        <f>"DISCOUNT AUTOMARCHE"</f>
        <v>DISCOUNT AUTOMARCHE</v>
      </c>
      <c r="C3525" s="4">
        <v>344895925</v>
      </c>
      <c r="D3525" s="3" t="s">
        <v>0</v>
      </c>
      <c r="E3525" s="2" t="str">
        <f>"PR9500011D"</f>
        <v>PR9500011D</v>
      </c>
      <c r="F3525" s="5">
        <v>39370</v>
      </c>
      <c r="G3525" s="5">
        <v>54789</v>
      </c>
      <c r="H3525" s="4" t="str">
        <f>""</f>
        <v/>
      </c>
      <c r="I3525" s="4" t="str">
        <f>""</f>
        <v/>
      </c>
    </row>
    <row r="3526" spans="1:9" x14ac:dyDescent="0.3">
      <c r="A3526" s="1" t="str">
        <f>"95"</f>
        <v>95</v>
      </c>
      <c r="B3526" s="4" t="str">
        <f>"DISCOUNT AUTOMARCHE"</f>
        <v>DISCOUNT AUTOMARCHE</v>
      </c>
      <c r="C3526" s="4">
        <v>344895925</v>
      </c>
      <c r="D3526" s="3" t="s">
        <v>0</v>
      </c>
      <c r="E3526" s="2" t="str">
        <f>"0006508709"</f>
        <v>0006508709</v>
      </c>
      <c r="F3526" s="5">
        <v>39370</v>
      </c>
      <c r="G3526" s="5">
        <v>54789</v>
      </c>
      <c r="H3526" s="4" t="str">
        <f>""</f>
        <v/>
      </c>
      <c r="I3526" s="4" t="str">
        <f>""</f>
        <v/>
      </c>
    </row>
    <row r="3527" spans="1:9" x14ac:dyDescent="0.3">
      <c r="A3527" s="1" t="str">
        <f>"95"</f>
        <v>95</v>
      </c>
      <c r="B3527" s="4" t="str">
        <f>"AGV 95"</f>
        <v>AGV 95</v>
      </c>
      <c r="C3527" s="4">
        <v>383229259</v>
      </c>
      <c r="D3527" s="3" t="s">
        <v>0</v>
      </c>
      <c r="E3527" s="2" t="str">
        <f>"PR9500018D"</f>
        <v>PR9500018D</v>
      </c>
      <c r="F3527" s="5">
        <v>40359</v>
      </c>
      <c r="G3527" s="5">
        <v>54789</v>
      </c>
      <c r="H3527" s="4" t="str">
        <f>""</f>
        <v/>
      </c>
      <c r="I3527" s="4" t="str">
        <f>""</f>
        <v/>
      </c>
    </row>
    <row r="3528" spans="1:9" x14ac:dyDescent="0.3">
      <c r="A3528" s="1" t="str">
        <f>"95"</f>
        <v>95</v>
      </c>
      <c r="B3528" s="4" t="str">
        <f>"GARAGE VOG"</f>
        <v>GARAGE VOG</v>
      </c>
      <c r="C3528" s="4">
        <v>384061461</v>
      </c>
      <c r="D3528" s="3" t="s">
        <v>0</v>
      </c>
      <c r="E3528" s="2" t="str">
        <f>"PR9500001D"</f>
        <v>PR9500001D</v>
      </c>
      <c r="F3528" s="5">
        <v>41081</v>
      </c>
      <c r="G3528" s="5">
        <v>54789</v>
      </c>
      <c r="H3528" s="4" t="str">
        <f>""</f>
        <v/>
      </c>
      <c r="I3528" s="4" t="str">
        <f>""</f>
        <v/>
      </c>
    </row>
    <row r="3529" spans="1:9" x14ac:dyDescent="0.3">
      <c r="A3529" s="1" t="str">
        <f>"95"</f>
        <v>95</v>
      </c>
      <c r="B3529" s="4" t="str">
        <f>"GARAGE VOG"</f>
        <v>GARAGE VOG</v>
      </c>
      <c r="C3529" s="4">
        <v>384061461</v>
      </c>
      <c r="D3529" s="3" t="s">
        <v>0</v>
      </c>
      <c r="E3529" s="2" t="str">
        <f>"0006509787"</f>
        <v>0006509787</v>
      </c>
      <c r="F3529" s="5">
        <v>38860</v>
      </c>
      <c r="G3529" s="5">
        <v>54789</v>
      </c>
      <c r="H3529" s="4" t="str">
        <f>""</f>
        <v/>
      </c>
      <c r="I3529" s="4" t="str">
        <f>""</f>
        <v/>
      </c>
    </row>
    <row r="3530" spans="1:9" x14ac:dyDescent="0.3">
      <c r="A3530" s="1" t="str">
        <f>"95"</f>
        <v>95</v>
      </c>
      <c r="B3530" s="4" t="str">
        <f>"NAVILLOD PERE ET FILS"</f>
        <v>NAVILLOD PERE ET FILS</v>
      </c>
      <c r="C3530" s="4">
        <v>385095930</v>
      </c>
      <c r="D3530" s="3" t="s">
        <v>0</v>
      </c>
      <c r="E3530" s="2" t="str">
        <f>"0006505749"</f>
        <v>0006505749</v>
      </c>
      <c r="F3530" s="5">
        <v>41078</v>
      </c>
      <c r="G3530" s="5">
        <v>54789</v>
      </c>
      <c r="H3530" s="4" t="str">
        <f>""</f>
        <v/>
      </c>
      <c r="I3530" s="4" t="str">
        <f>""</f>
        <v/>
      </c>
    </row>
    <row r="3531" spans="1:9" x14ac:dyDescent="0.3">
      <c r="A3531" s="1" t="str">
        <f>"95"</f>
        <v>95</v>
      </c>
      <c r="B3531" s="4" t="str">
        <f>"NAVILLOD PERE ET FILS"</f>
        <v>NAVILLOD PERE ET FILS</v>
      </c>
      <c r="C3531" s="4">
        <v>385095930</v>
      </c>
      <c r="D3531" s="3" t="s">
        <v>0</v>
      </c>
      <c r="E3531" s="2" t="str">
        <f>"PR9500004D"</f>
        <v>PR9500004D</v>
      </c>
      <c r="F3531" s="5">
        <v>43293</v>
      </c>
      <c r="G3531" s="5">
        <v>54789</v>
      </c>
      <c r="H3531" s="4" t="str">
        <f>""</f>
        <v/>
      </c>
      <c r="I3531" s="4" t="str">
        <f>""</f>
        <v/>
      </c>
    </row>
    <row r="3532" spans="1:9" x14ac:dyDescent="0.3">
      <c r="A3532" s="1" t="str">
        <f>"95"</f>
        <v>95</v>
      </c>
      <c r="B3532" s="4" t="str">
        <f>"ZITOUNTERK"</f>
        <v>ZITOUNTERK</v>
      </c>
      <c r="C3532" s="4">
        <v>394660013</v>
      </c>
      <c r="D3532" s="3" t="s">
        <v>0</v>
      </c>
      <c r="E3532" s="2" t="str">
        <f>"PR9500008D"</f>
        <v>PR9500008D</v>
      </c>
      <c r="F3532" s="5">
        <v>39287</v>
      </c>
      <c r="G3532" s="5">
        <v>54789</v>
      </c>
      <c r="H3532" s="4" t="str">
        <f>""</f>
        <v/>
      </c>
      <c r="I3532" s="4" t="str">
        <f>""</f>
        <v/>
      </c>
    </row>
    <row r="3533" spans="1:9" x14ac:dyDescent="0.3">
      <c r="A3533" s="1" t="str">
        <f>"95"</f>
        <v>95</v>
      </c>
      <c r="B3533" s="4" t="str">
        <f>"ZITOUNTERK"</f>
        <v>ZITOUNTERK</v>
      </c>
      <c r="C3533" s="4">
        <v>394660013</v>
      </c>
      <c r="D3533" s="3" t="s">
        <v>0</v>
      </c>
      <c r="E3533" s="2" t="str">
        <f>"0006507389"</f>
        <v>0006507389</v>
      </c>
      <c r="F3533" s="5">
        <v>41478</v>
      </c>
      <c r="G3533" s="5">
        <v>54789</v>
      </c>
      <c r="H3533" s="4" t="str">
        <f>""</f>
        <v/>
      </c>
      <c r="I3533" s="4" t="str">
        <f>""</f>
        <v/>
      </c>
    </row>
    <row r="3534" spans="1:9" x14ac:dyDescent="0.3">
      <c r="A3534" s="1" t="str">
        <f>"95"</f>
        <v>95</v>
      </c>
      <c r="B3534" s="4" t="str">
        <f>"LA PIECE"</f>
        <v>LA PIECE</v>
      </c>
      <c r="C3534" s="4">
        <v>414070607</v>
      </c>
      <c r="D3534" s="3" t="s">
        <v>0</v>
      </c>
      <c r="E3534" s="2" t="str">
        <f>"PR9500005D"</f>
        <v>PR9500005D</v>
      </c>
      <c r="F3534" s="5">
        <v>38910</v>
      </c>
      <c r="G3534" s="5">
        <v>54789</v>
      </c>
      <c r="H3534" s="4" t="str">
        <f>""</f>
        <v/>
      </c>
      <c r="I3534" s="4" t="str">
        <f>""</f>
        <v/>
      </c>
    </row>
    <row r="3535" spans="1:9" x14ac:dyDescent="0.3">
      <c r="A3535" s="1" t="str">
        <f>"95"</f>
        <v>95</v>
      </c>
      <c r="B3535" s="4" t="str">
        <f>"LA PIECE"</f>
        <v>LA PIECE</v>
      </c>
      <c r="C3535" s="4">
        <v>414070607</v>
      </c>
      <c r="D3535" s="3" t="s">
        <v>0</v>
      </c>
      <c r="E3535" s="2" t="str">
        <f>"0006508813"</f>
        <v>0006508813</v>
      </c>
      <c r="F3535" s="5">
        <v>38910</v>
      </c>
      <c r="G3535" s="5">
        <v>54789</v>
      </c>
      <c r="H3535" s="4" t="str">
        <f>""</f>
        <v/>
      </c>
      <c r="I3535" s="4" t="str">
        <f>""</f>
        <v/>
      </c>
    </row>
    <row r="3536" spans="1:9" x14ac:dyDescent="0.3">
      <c r="A3536" s="1" t="str">
        <f>"95"</f>
        <v>95</v>
      </c>
      <c r="B3536" s="4" t="str">
        <f>"FAST CAR"</f>
        <v>FAST CAR</v>
      </c>
      <c r="C3536" s="4">
        <v>431442516</v>
      </c>
      <c r="D3536" s="3" t="s">
        <v>0</v>
      </c>
      <c r="E3536" s="2" t="str">
        <f>"0006513031"</f>
        <v>0006513031</v>
      </c>
      <c r="F3536" s="5">
        <v>42717</v>
      </c>
      <c r="G3536" s="5">
        <v>54789</v>
      </c>
      <c r="H3536" s="4" t="str">
        <f>""</f>
        <v/>
      </c>
      <c r="I3536" s="4" t="str">
        <f>""</f>
        <v/>
      </c>
    </row>
    <row r="3537" spans="1:9" x14ac:dyDescent="0.3">
      <c r="A3537" s="1" t="str">
        <f>"95"</f>
        <v>95</v>
      </c>
      <c r="B3537" s="4" t="str">
        <f>"FAST CAR"</f>
        <v>FAST CAR</v>
      </c>
      <c r="C3537" s="4">
        <v>431442516</v>
      </c>
      <c r="D3537" s="3" t="s">
        <v>0</v>
      </c>
      <c r="E3537" s="2" t="str">
        <f>"PR9500021D"</f>
        <v>PR9500021D</v>
      </c>
      <c r="F3537" s="5">
        <v>42717</v>
      </c>
      <c r="G3537" s="5">
        <v>54789</v>
      </c>
      <c r="H3537" s="4" t="str">
        <f>""</f>
        <v/>
      </c>
      <c r="I3537" s="4" t="str">
        <f>""</f>
        <v/>
      </c>
    </row>
    <row r="3538" spans="1:9" x14ac:dyDescent="0.3">
      <c r="A3538" s="1" t="str">
        <f>"95"</f>
        <v>95</v>
      </c>
      <c r="B3538" s="4" t="str">
        <f>"A LA CASSE AUTO JJ"</f>
        <v>A LA CASSE AUTO JJ</v>
      </c>
      <c r="C3538" s="4">
        <v>513756619</v>
      </c>
      <c r="D3538" s="3" t="s">
        <v>0</v>
      </c>
      <c r="E3538" s="2" t="str">
        <f>"PR9500006D"</f>
        <v>PR9500006D</v>
      </c>
      <c r="F3538" s="5">
        <v>40234</v>
      </c>
      <c r="G3538" s="5">
        <v>54789</v>
      </c>
      <c r="H3538" s="4" t="str">
        <f>""</f>
        <v/>
      </c>
      <c r="I3538" s="4" t="str">
        <f>""</f>
        <v/>
      </c>
    </row>
    <row r="3539" spans="1:9" x14ac:dyDescent="0.3">
      <c r="A3539" s="1" t="str">
        <f>"95"</f>
        <v>95</v>
      </c>
      <c r="B3539" s="4" t="str">
        <f>"A LA CASSE AUTO JJ"</f>
        <v>A LA CASSE AUTO JJ</v>
      </c>
      <c r="C3539" s="4">
        <v>513756619</v>
      </c>
      <c r="D3539" s="3" t="s">
        <v>0</v>
      </c>
      <c r="E3539" s="2" t="str">
        <f>"0006505480"</f>
        <v>0006505480</v>
      </c>
      <c r="F3539" s="5">
        <v>40234</v>
      </c>
      <c r="G3539" s="5">
        <v>54789</v>
      </c>
      <c r="H3539" s="4" t="str">
        <f>""</f>
        <v/>
      </c>
      <c r="I3539" s="4" t="str">
        <f>""</f>
        <v/>
      </c>
    </row>
    <row r="3540" spans="1:9" x14ac:dyDescent="0.3">
      <c r="A3540" s="1" t="str">
        <f>"95"</f>
        <v>95</v>
      </c>
      <c r="B3540" s="4" t="str">
        <f>"AGV 95"</f>
        <v>AGV 95</v>
      </c>
      <c r="C3540" s="4">
        <v>514132646</v>
      </c>
      <c r="D3540" s="3" t="s">
        <v>0</v>
      </c>
      <c r="E3540" s="2" t="str">
        <f>"0006512501"</f>
        <v>0006512501</v>
      </c>
      <c r="F3540" s="5">
        <v>40359</v>
      </c>
      <c r="G3540" s="5">
        <v>54789</v>
      </c>
      <c r="H3540" s="4" t="str">
        <f>""</f>
        <v/>
      </c>
      <c r="I3540" s="4" t="str">
        <f>""</f>
        <v/>
      </c>
    </row>
    <row r="3541" spans="1:9" x14ac:dyDescent="0.3">
      <c r="A3541" s="1" t="str">
        <f>"95"</f>
        <v>95</v>
      </c>
      <c r="B3541" s="4" t="str">
        <f>"MULTI SERVICES AUTOS"</f>
        <v>MULTI SERVICES AUTOS</v>
      </c>
      <c r="C3541" s="4">
        <v>514875103</v>
      </c>
      <c r="D3541" s="3" t="s">
        <v>0</v>
      </c>
      <c r="E3541" s="2" t="str">
        <f>"PR9500017D"</f>
        <v>PR9500017D</v>
      </c>
      <c r="F3541" s="5">
        <v>40218</v>
      </c>
      <c r="G3541" s="5">
        <v>54789</v>
      </c>
      <c r="H3541" s="4" t="str">
        <f>""</f>
        <v/>
      </c>
      <c r="I3541" s="4" t="str">
        <f>""</f>
        <v/>
      </c>
    </row>
    <row r="3542" spans="1:9" x14ac:dyDescent="0.3">
      <c r="A3542" s="1" t="str">
        <f>"95"</f>
        <v>95</v>
      </c>
      <c r="B3542" s="4" t="str">
        <f>"DLA CARROSSERIE"</f>
        <v>DLA CARROSSERIE</v>
      </c>
      <c r="C3542" s="4">
        <v>523460640</v>
      </c>
      <c r="D3542" s="3" t="s">
        <v>0</v>
      </c>
      <c r="E3542" s="2" t="str">
        <f>"PR9500025D"</f>
        <v>PR9500025D</v>
      </c>
      <c r="F3542" s="5">
        <v>43654</v>
      </c>
      <c r="G3542" s="5">
        <v>54789</v>
      </c>
      <c r="H3542" s="4" t="str">
        <f>""</f>
        <v/>
      </c>
      <c r="I3542" s="4" t="str">
        <f>""</f>
        <v/>
      </c>
    </row>
    <row r="3543" spans="1:9" x14ac:dyDescent="0.3">
      <c r="A3543" s="1" t="str">
        <f>"95"</f>
        <v>95</v>
      </c>
      <c r="B3543" s="4" t="str">
        <f>"DLA CARROSSERIE"</f>
        <v>DLA CARROSSERIE</v>
      </c>
      <c r="C3543" s="4">
        <v>523460640</v>
      </c>
      <c r="D3543" s="3" t="s">
        <v>0</v>
      </c>
      <c r="E3543" s="2" t="str">
        <f>"0006521861"</f>
        <v>0006521861</v>
      </c>
      <c r="F3543" s="5">
        <v>43654</v>
      </c>
      <c r="G3543" s="5">
        <v>54789</v>
      </c>
      <c r="H3543" s="4" t="str">
        <f>""</f>
        <v/>
      </c>
      <c r="I3543" s="4" t="str">
        <f>""</f>
        <v/>
      </c>
    </row>
    <row r="3544" spans="1:9" x14ac:dyDescent="0.3">
      <c r="A3544" s="1" t="str">
        <f>"95"</f>
        <v>95</v>
      </c>
      <c r="B3544" s="4" t="str">
        <f>"SPORT AUTO"</f>
        <v>SPORT AUTO</v>
      </c>
      <c r="C3544" s="4">
        <v>658108394</v>
      </c>
      <c r="D3544" s="3" t="s">
        <v>0</v>
      </c>
      <c r="E3544" s="2" t="str">
        <f>"PR9500002D"</f>
        <v>PR9500002D</v>
      </c>
      <c r="F3544" s="5">
        <v>41081</v>
      </c>
      <c r="G3544" s="5">
        <v>54789</v>
      </c>
      <c r="H3544" s="4" t="str">
        <f>""</f>
        <v/>
      </c>
      <c r="I3544" s="4" t="str">
        <f>""</f>
        <v/>
      </c>
    </row>
    <row r="3545" spans="1:9" x14ac:dyDescent="0.3">
      <c r="A3545" s="1" t="str">
        <f>"95"</f>
        <v>95</v>
      </c>
      <c r="B3545" s="4" t="str">
        <f>"SPORT AUTO"</f>
        <v>SPORT AUTO</v>
      </c>
      <c r="C3545" s="4">
        <v>658108394</v>
      </c>
      <c r="D3545" s="3" t="s">
        <v>0</v>
      </c>
      <c r="E3545" s="2" t="str">
        <f>"0006505951"</f>
        <v>0006505951</v>
      </c>
      <c r="F3545" s="5">
        <v>41080</v>
      </c>
      <c r="G3545" s="5">
        <v>54789</v>
      </c>
      <c r="H3545" s="4" t="str">
        <f>""</f>
        <v/>
      </c>
      <c r="I3545" s="4" t="str">
        <f>""</f>
        <v/>
      </c>
    </row>
    <row r="3546" spans="1:9" x14ac:dyDescent="0.3">
      <c r="A3546" s="1" t="str">
        <f>"95"</f>
        <v>95</v>
      </c>
      <c r="B3546" s="4" t="str">
        <f>"GARAGE UNIVERSEL AUTO PIECES"</f>
        <v>GARAGE UNIVERSEL AUTO PIECES</v>
      </c>
      <c r="C3546" s="4">
        <v>812263341</v>
      </c>
      <c r="D3546" s="3" t="s">
        <v>0</v>
      </c>
      <c r="E3546" s="2" t="str">
        <f>"0006512634"</f>
        <v>0006512634</v>
      </c>
      <c r="F3546" s="5">
        <v>40093</v>
      </c>
      <c r="G3546" s="5">
        <v>54789</v>
      </c>
      <c r="H3546" s="4" t="str">
        <f>""</f>
        <v/>
      </c>
      <c r="I3546" s="4" t="str">
        <f>""</f>
        <v/>
      </c>
    </row>
    <row r="3547" spans="1:9" x14ac:dyDescent="0.3">
      <c r="A3547" s="1" t="str">
        <f>"95"</f>
        <v>95</v>
      </c>
      <c r="B3547" s="4" t="str">
        <f>"GARAGE UNIVERSEL AUTO PIECES"</f>
        <v>GARAGE UNIVERSEL AUTO PIECES</v>
      </c>
      <c r="C3547" s="4">
        <v>812263341</v>
      </c>
      <c r="D3547" s="3" t="s">
        <v>0</v>
      </c>
      <c r="E3547" s="2" t="str">
        <f>"PR9500020D"</f>
        <v>PR9500020D</v>
      </c>
      <c r="F3547" s="5">
        <v>42719</v>
      </c>
      <c r="G3547" s="5">
        <v>54789</v>
      </c>
      <c r="H3547" s="4" t="str">
        <f>""</f>
        <v/>
      </c>
      <c r="I3547" s="4" t="str">
        <f>""</f>
        <v/>
      </c>
    </row>
    <row r="3548" spans="1:9" x14ac:dyDescent="0.3">
      <c r="A3548" s="1" t="str">
        <f>"95"</f>
        <v>95</v>
      </c>
      <c r="B3548" s="4" t="str">
        <f>"BG RECYCLAGE"</f>
        <v>BG RECYCLAGE</v>
      </c>
      <c r="C3548" s="4">
        <v>814430401</v>
      </c>
      <c r="D3548" s="3" t="s">
        <v>0</v>
      </c>
      <c r="E3548" s="2" t="str">
        <f>"0006520768"</f>
        <v>0006520768</v>
      </c>
      <c r="F3548" s="5">
        <v>42807</v>
      </c>
      <c r="G3548" s="5">
        <v>54789</v>
      </c>
      <c r="H3548" s="4" t="str">
        <f>""</f>
        <v/>
      </c>
      <c r="I3548" s="4" t="str">
        <f>""</f>
        <v/>
      </c>
    </row>
    <row r="3549" spans="1:9" x14ac:dyDescent="0.3">
      <c r="A3549" s="1" t="str">
        <f>"95"</f>
        <v>95</v>
      </c>
      <c r="B3549" s="4" t="str">
        <f>"BG RECYCLAGE"</f>
        <v>BG RECYCLAGE</v>
      </c>
      <c r="C3549" s="4">
        <v>814430401</v>
      </c>
      <c r="D3549" s="3" t="s">
        <v>0</v>
      </c>
      <c r="E3549" s="2" t="str">
        <f>"PR9500022D"</f>
        <v>PR9500022D</v>
      </c>
      <c r="F3549" s="5">
        <v>42807</v>
      </c>
      <c r="G3549" s="5">
        <v>54789</v>
      </c>
      <c r="H3549" s="4" t="str">
        <f>""</f>
        <v/>
      </c>
      <c r="I3549" s="4" t="str">
        <f>""</f>
        <v/>
      </c>
    </row>
    <row r="3550" spans="1:9" x14ac:dyDescent="0.3">
      <c r="A3550" s="1" t="str">
        <f>"95"</f>
        <v>95</v>
      </c>
      <c r="B3550" s="4" t="str">
        <f>"FRANCE MOTEURS"</f>
        <v>FRANCE MOTEURS</v>
      </c>
      <c r="C3550" s="4">
        <v>827613977</v>
      </c>
      <c r="D3550" s="3" t="s">
        <v>0</v>
      </c>
      <c r="E3550" s="2" t="str">
        <f>"0100003728"</f>
        <v>0100003728</v>
      </c>
      <c r="F3550" s="5">
        <v>44946</v>
      </c>
      <c r="G3550" s="5">
        <v>54789</v>
      </c>
      <c r="H3550" s="4" t="str">
        <f>""</f>
        <v/>
      </c>
      <c r="I3550" s="4" t="str">
        <f>""</f>
        <v/>
      </c>
    </row>
    <row r="3551" spans="1:9" x14ac:dyDescent="0.3">
      <c r="A3551" s="1" t="str">
        <f>"95"</f>
        <v>95</v>
      </c>
      <c r="B3551" s="4" t="str">
        <f>"FRANCE MOTEURS"</f>
        <v>FRANCE MOTEURS</v>
      </c>
      <c r="C3551" s="4">
        <v>827613977</v>
      </c>
      <c r="D3551" s="3" t="s">
        <v>0</v>
      </c>
      <c r="E3551" s="2" t="str">
        <f>"PR9500029D"</f>
        <v>PR9500029D</v>
      </c>
      <c r="F3551" s="5">
        <v>44946</v>
      </c>
      <c r="G3551" s="5">
        <v>54789</v>
      </c>
      <c r="H3551" s="4" t="str">
        <f>""</f>
        <v/>
      </c>
      <c r="I3551" s="4" t="str">
        <f>""</f>
        <v/>
      </c>
    </row>
    <row r="3552" spans="1:9" x14ac:dyDescent="0.3">
      <c r="A3552" s="1" t="str">
        <f>"95"</f>
        <v>95</v>
      </c>
      <c r="B3552" s="4" t="str">
        <f>"VIRUS AUTOMOBILES RECYCLAGE"</f>
        <v>VIRUS AUTOMOBILES RECYCLAGE</v>
      </c>
      <c r="C3552" s="4">
        <v>833577679</v>
      </c>
      <c r="D3552" s="3" t="s">
        <v>0</v>
      </c>
      <c r="E3552" s="2" t="str">
        <f>"0006521828"</f>
        <v>0006521828</v>
      </c>
      <c r="F3552" s="5">
        <v>43497</v>
      </c>
      <c r="G3552" s="5">
        <v>54789</v>
      </c>
      <c r="H3552" s="4" t="str">
        <f>""</f>
        <v/>
      </c>
      <c r="I3552" s="4" t="str">
        <f>""</f>
        <v/>
      </c>
    </row>
    <row r="3553" spans="1:9" x14ac:dyDescent="0.3">
      <c r="A3553" s="1" t="str">
        <f>"95"</f>
        <v>95</v>
      </c>
      <c r="B3553" s="4" t="str">
        <f>"VIRUS AUTOMOBILES RECYCLAGE"</f>
        <v>VIRUS AUTOMOBILES RECYCLAGE</v>
      </c>
      <c r="C3553" s="4">
        <v>833577679</v>
      </c>
      <c r="D3553" s="3" t="s">
        <v>0</v>
      </c>
      <c r="E3553" s="2" t="str">
        <f>"PR9500024D"</f>
        <v>PR9500024D</v>
      </c>
      <c r="F3553" s="5">
        <v>43497</v>
      </c>
      <c r="G3553" s="5">
        <v>54789</v>
      </c>
      <c r="H3553" s="4" t="str">
        <f>""</f>
        <v/>
      </c>
      <c r="I3553" s="4" t="str">
        <f>""</f>
        <v/>
      </c>
    </row>
    <row r="3554" spans="1:9" x14ac:dyDescent="0.3">
      <c r="A3554" s="1" t="str">
        <f>"95"</f>
        <v>95</v>
      </c>
      <c r="B3554" s="4" t="str">
        <f>"S PARK"</f>
        <v>S PARK</v>
      </c>
      <c r="C3554" s="4">
        <v>885234989</v>
      </c>
      <c r="D3554" s="3" t="s">
        <v>0</v>
      </c>
      <c r="E3554" s="2" t="str">
        <f>"0006400798"</f>
        <v>0006400798</v>
      </c>
      <c r="F3554" s="5">
        <v>44530</v>
      </c>
      <c r="G3554" s="5">
        <v>54789</v>
      </c>
      <c r="H3554" s="4" t="str">
        <f>""</f>
        <v/>
      </c>
      <c r="I3554" s="4" t="str">
        <f>""</f>
        <v/>
      </c>
    </row>
    <row r="3555" spans="1:9" x14ac:dyDescent="0.3">
      <c r="A3555" s="1" t="str">
        <f>"95"</f>
        <v>95</v>
      </c>
      <c r="B3555" s="4" t="str">
        <f>"S PARK"</f>
        <v>S PARK</v>
      </c>
      <c r="C3555" s="4">
        <v>885234989</v>
      </c>
      <c r="D3555" s="3" t="s">
        <v>0</v>
      </c>
      <c r="E3555" s="2" t="str">
        <f>"PR9500028D"</f>
        <v>PR9500028D</v>
      </c>
      <c r="F3555" s="5">
        <v>44530</v>
      </c>
      <c r="G3555" s="5">
        <v>54789</v>
      </c>
      <c r="H3555" s="4" t="str">
        <f>""</f>
        <v/>
      </c>
      <c r="I3555" s="4" t="str">
        <f>""</f>
        <v/>
      </c>
    </row>
    <row r="3556" spans="1:9" x14ac:dyDescent="0.3">
      <c r="A3556" s="1" t="str">
        <f>"95"</f>
        <v>95</v>
      </c>
      <c r="B3556" s="4" t="str">
        <f>"MULTI SERVICES AUTO 95"</f>
        <v>MULTI SERVICES AUTO 95</v>
      </c>
      <c r="C3556" s="4">
        <v>915009781</v>
      </c>
      <c r="D3556" s="3" t="s">
        <v>0</v>
      </c>
      <c r="E3556" s="2" t="str">
        <f>"0006505771"</f>
        <v>0006505771</v>
      </c>
      <c r="F3556" s="5">
        <v>45012</v>
      </c>
      <c r="G3556" s="5">
        <v>54789</v>
      </c>
      <c r="H3556" s="4" t="str">
        <f>""</f>
        <v/>
      </c>
      <c r="I3556" s="4" t="str">
        <f>""</f>
        <v/>
      </c>
    </row>
    <row r="3557" spans="1:9" x14ac:dyDescent="0.3">
      <c r="A3557" s="1" t="str">
        <f>"95"</f>
        <v>95</v>
      </c>
      <c r="B3557" s="4" t="str">
        <f>"MULTI SERVICES AUTO 95"</f>
        <v>MULTI SERVICES AUTO 95</v>
      </c>
      <c r="C3557" s="4">
        <v>915009781</v>
      </c>
      <c r="D3557" s="3" t="s">
        <v>0</v>
      </c>
      <c r="E3557" s="2" t="str">
        <f>"PR9500030D"</f>
        <v>PR9500030D</v>
      </c>
      <c r="F3557" s="5">
        <v>45012</v>
      </c>
      <c r="G3557" s="5">
        <v>54789</v>
      </c>
      <c r="H3557" s="4" t="str">
        <f>""</f>
        <v/>
      </c>
      <c r="I3557" s="4" t="str">
        <f>""</f>
        <v/>
      </c>
    </row>
    <row r="3558" spans="1:9" x14ac:dyDescent="0.3">
      <c r="A3558" s="1" t="str">
        <f>"971"</f>
        <v>971</v>
      </c>
      <c r="B3558" s="4" t="str">
        <f>"SAINTE ROSE AUTO"</f>
        <v>SAINTE ROSE AUTO</v>
      </c>
      <c r="C3558" s="4">
        <v>350627352</v>
      </c>
      <c r="D3558" s="3" t="s">
        <v>0</v>
      </c>
      <c r="E3558" s="2" t="str">
        <f>"PR97100007D"</f>
        <v>PR97100007D</v>
      </c>
      <c r="F3558" s="5">
        <v>42640</v>
      </c>
      <c r="G3558" s="5">
        <v>54789</v>
      </c>
      <c r="H3558" s="4" t="str">
        <f>""</f>
        <v/>
      </c>
      <c r="I3558" s="4" t="str">
        <f>""</f>
        <v/>
      </c>
    </row>
    <row r="3559" spans="1:9" x14ac:dyDescent="0.3">
      <c r="A3559" s="1" t="str">
        <f>"971"</f>
        <v>971</v>
      </c>
      <c r="B3559" s="4" t="str">
        <f>"SOCIETE ANTILLES ENVIRONNEMENT RECYCLAGE"</f>
        <v>SOCIETE ANTILLES ENVIRONNEMENT RECYCLAGE</v>
      </c>
      <c r="C3559" s="4">
        <v>402260699</v>
      </c>
      <c r="D3559" s="3" t="s">
        <v>0</v>
      </c>
      <c r="E3559" s="2" t="str">
        <f>"PR97100001D"</f>
        <v>PR97100001D</v>
      </c>
      <c r="F3559" s="5">
        <v>43445</v>
      </c>
      <c r="G3559" s="5">
        <v>54789</v>
      </c>
      <c r="H3559" s="4" t="str">
        <f>""</f>
        <v/>
      </c>
      <c r="I3559" s="4" t="str">
        <f>""</f>
        <v/>
      </c>
    </row>
    <row r="3560" spans="1:9" x14ac:dyDescent="0.3">
      <c r="A3560" s="1" t="str">
        <f>"971"</f>
        <v>971</v>
      </c>
      <c r="B3560" s="4" t="str">
        <f>"CARITRANS"</f>
        <v>CARITRANS</v>
      </c>
      <c r="C3560" s="4">
        <v>433332756</v>
      </c>
      <c r="D3560" s="3" t="s">
        <v>0</v>
      </c>
      <c r="E3560" s="2" t="str">
        <f>"PR97100005D"</f>
        <v>PR97100005D</v>
      </c>
      <c r="F3560" s="5">
        <v>41830</v>
      </c>
      <c r="G3560" s="5">
        <v>54789</v>
      </c>
      <c r="H3560" s="4" t="str">
        <f>""</f>
        <v/>
      </c>
      <c r="I3560" s="4" t="str">
        <f>""</f>
        <v/>
      </c>
    </row>
    <row r="3561" spans="1:9" x14ac:dyDescent="0.3">
      <c r="A3561" s="1" t="str">
        <f>"971"</f>
        <v>971</v>
      </c>
      <c r="B3561" s="4" t="str">
        <f>"AUTO CASSE PLUS"</f>
        <v>AUTO CASSE PLUS</v>
      </c>
      <c r="C3561" s="4">
        <v>438807000</v>
      </c>
      <c r="D3561" s="3" t="s">
        <v>0</v>
      </c>
      <c r="E3561" s="2" t="str">
        <f>"PR97100004D"</f>
        <v>PR97100004D</v>
      </c>
      <c r="F3561" s="5">
        <v>43843</v>
      </c>
      <c r="G3561" s="5">
        <v>54789</v>
      </c>
      <c r="H3561" s="4" t="str">
        <f>""</f>
        <v/>
      </c>
      <c r="I3561" s="4" t="str">
        <f>""</f>
        <v/>
      </c>
    </row>
    <row r="3562" spans="1:9" x14ac:dyDescent="0.3">
      <c r="A3562" s="1" t="str">
        <f>"971"</f>
        <v>971</v>
      </c>
      <c r="B3562" s="4" t="str">
        <f>"GARAGE GMP MOTORS"</f>
        <v>GARAGE GMP MOTORS</v>
      </c>
      <c r="C3562" s="4">
        <v>446786911</v>
      </c>
      <c r="D3562" s="3" t="s">
        <v>0</v>
      </c>
      <c r="E3562" s="2" t="str">
        <f>"PR97100009D"</f>
        <v>PR97100009D</v>
      </c>
      <c r="F3562" s="5">
        <v>44152</v>
      </c>
      <c r="G3562" s="5">
        <v>54789</v>
      </c>
      <c r="H3562" s="4" t="str">
        <f>""</f>
        <v/>
      </c>
      <c r="I3562" s="4" t="str">
        <f>""</f>
        <v/>
      </c>
    </row>
    <row r="3563" spans="1:9" x14ac:dyDescent="0.3">
      <c r="A3563" s="1" t="str">
        <f>"971"</f>
        <v>971</v>
      </c>
      <c r="B3563" s="4" t="str">
        <f>"GARAGE GUY"</f>
        <v>GARAGE GUY</v>
      </c>
      <c r="C3563" s="4">
        <v>490850559</v>
      </c>
      <c r="D3563" s="3" t="s">
        <v>0</v>
      </c>
      <c r="E3563" s="2" t="str">
        <f>"PR97100017D"</f>
        <v>PR97100017D</v>
      </c>
      <c r="F3563" s="5">
        <v>44670</v>
      </c>
      <c r="G3563" s="5">
        <v>54789</v>
      </c>
      <c r="H3563" s="4" t="str">
        <f>""</f>
        <v/>
      </c>
      <c r="I3563" s="4" t="str">
        <f>""</f>
        <v/>
      </c>
    </row>
    <row r="3564" spans="1:9" x14ac:dyDescent="0.3">
      <c r="A3564" s="1" t="str">
        <f>"971"</f>
        <v>971</v>
      </c>
      <c r="B3564" s="4" t="str">
        <f>"VERDE SXM"</f>
        <v>VERDE SXM</v>
      </c>
      <c r="C3564" s="4">
        <v>531604841</v>
      </c>
      <c r="D3564" s="3" t="s">
        <v>0</v>
      </c>
      <c r="E3564" s="2" t="str">
        <f>"PR97100016D"</f>
        <v>PR97100016D</v>
      </c>
      <c r="F3564" s="5">
        <v>43374</v>
      </c>
      <c r="G3564" s="5">
        <v>54789</v>
      </c>
      <c r="H3564" s="4" t="str">
        <f>""</f>
        <v/>
      </c>
      <c r="I3564" s="4" t="str">
        <f>""</f>
        <v/>
      </c>
    </row>
    <row r="3565" spans="1:9" x14ac:dyDescent="0.3">
      <c r="A3565" s="1" t="str">
        <f>"971"</f>
        <v>971</v>
      </c>
      <c r="B3565" s="4" t="str">
        <f>"KARUKERA RECYCLAGE"</f>
        <v>KARUKERA RECYCLAGE</v>
      </c>
      <c r="C3565" s="4">
        <v>533431557</v>
      </c>
      <c r="D3565" s="3" t="s">
        <v>0</v>
      </c>
      <c r="E3565" s="2" t="str">
        <f>"PR97100006D"</f>
        <v>PR97100006D</v>
      </c>
      <c r="F3565" s="5">
        <v>42332</v>
      </c>
      <c r="G3565" s="5">
        <v>54789</v>
      </c>
      <c r="H3565" s="4" t="str">
        <f>""</f>
        <v/>
      </c>
      <c r="I3565" s="4" t="str">
        <f>""</f>
        <v/>
      </c>
    </row>
    <row r="3566" spans="1:9" x14ac:dyDescent="0.3">
      <c r="A3566" s="1" t="str">
        <f>"971"</f>
        <v>971</v>
      </c>
      <c r="B3566" s="4" t="str">
        <f>"GARAGE SOPAVE"</f>
        <v>GARAGE SOPAVE</v>
      </c>
      <c r="C3566" s="4">
        <v>800041832</v>
      </c>
      <c r="D3566" s="3" t="s">
        <v>0</v>
      </c>
      <c r="E3566" s="2" t="str">
        <f>"PR97100013D"</f>
        <v>PR97100013D</v>
      </c>
      <c r="F3566" s="5">
        <v>43669</v>
      </c>
      <c r="G3566" s="5">
        <v>54789</v>
      </c>
      <c r="H3566" s="4" t="str">
        <f>""</f>
        <v/>
      </c>
      <c r="I3566" s="4" t="str">
        <f>""</f>
        <v/>
      </c>
    </row>
    <row r="3567" spans="1:9" x14ac:dyDescent="0.3">
      <c r="A3567" s="1" t="str">
        <f>"971"</f>
        <v>971</v>
      </c>
      <c r="B3567" s="4" t="str">
        <f>"GARAGE YEPONDE"</f>
        <v>GARAGE YEPONDE</v>
      </c>
      <c r="C3567" s="4">
        <v>819203134</v>
      </c>
      <c r="D3567" s="3" t="s">
        <v>0</v>
      </c>
      <c r="E3567" s="2" t="str">
        <f>"PR97100008D"</f>
        <v>PR97100008D</v>
      </c>
      <c r="F3567" s="5">
        <v>42815</v>
      </c>
      <c r="G3567" s="5">
        <v>54789</v>
      </c>
      <c r="H3567" s="4" t="str">
        <f>""</f>
        <v/>
      </c>
      <c r="I3567" s="4" t="str">
        <f>""</f>
        <v/>
      </c>
    </row>
    <row r="3568" spans="1:9" x14ac:dyDescent="0.3">
      <c r="A3568" s="1" t="str">
        <f>"971"</f>
        <v>971</v>
      </c>
      <c r="B3568" s="4" t="str">
        <f>"GARAGE UVP SASU"</f>
        <v>GARAGE UVP SASU</v>
      </c>
      <c r="C3568" s="4">
        <v>840225353</v>
      </c>
      <c r="D3568" s="3" t="s">
        <v>0</v>
      </c>
      <c r="E3568" s="2" t="str">
        <f>"PR97100014D"</f>
        <v>PR97100014D</v>
      </c>
      <c r="F3568" s="5">
        <v>44293</v>
      </c>
      <c r="G3568" s="5">
        <v>54789</v>
      </c>
      <c r="H3568" s="4" t="str">
        <f>""</f>
        <v/>
      </c>
      <c r="I3568" s="4" t="str">
        <f>""</f>
        <v/>
      </c>
    </row>
    <row r="3569" spans="1:9" x14ac:dyDescent="0.3">
      <c r="A3569" s="1" t="str">
        <f>"971"</f>
        <v>971</v>
      </c>
      <c r="B3569" s="4" t="str">
        <f>"GARAGE SAS CONCORDIA SCRAPS METAL"</f>
        <v>GARAGE SAS CONCORDIA SCRAPS METAL</v>
      </c>
      <c r="C3569" s="4">
        <v>840225353</v>
      </c>
      <c r="D3569" s="3" t="s">
        <v>0</v>
      </c>
      <c r="E3569" s="2" t="str">
        <f>"PR97100010D"</f>
        <v>PR97100010D</v>
      </c>
      <c r="F3569" s="5">
        <v>44221</v>
      </c>
      <c r="G3569" s="5">
        <v>54789</v>
      </c>
      <c r="H3569" s="4" t="str">
        <f>""</f>
        <v/>
      </c>
      <c r="I3569" s="4" t="str">
        <f>""</f>
        <v/>
      </c>
    </row>
    <row r="3570" spans="1:9" x14ac:dyDescent="0.3">
      <c r="A3570" s="1" t="str">
        <f>"971"</f>
        <v>971</v>
      </c>
      <c r="B3570" s="4" t="str">
        <f>"GARAGE SAS CONCORDIA SCRAPS METAL"</f>
        <v>GARAGE SAS CONCORDIA SCRAPS METAL</v>
      </c>
      <c r="C3570" s="4">
        <v>840225353</v>
      </c>
      <c r="D3570" s="3" t="s">
        <v>0</v>
      </c>
      <c r="E3570" s="2" t="str">
        <f>"PR97100011D"</f>
        <v>PR97100011D</v>
      </c>
      <c r="F3570" s="5">
        <v>44221</v>
      </c>
      <c r="G3570" s="5">
        <v>54789</v>
      </c>
      <c r="H3570" s="4" t="str">
        <f>""</f>
        <v/>
      </c>
      <c r="I3570" s="4" t="str">
        <f>""</f>
        <v/>
      </c>
    </row>
    <row r="3571" spans="1:9" x14ac:dyDescent="0.3">
      <c r="A3571" s="1" t="str">
        <f>"971"</f>
        <v>971</v>
      </c>
      <c r="B3571" s="4" t="str">
        <f>"JANKY"</f>
        <v>JANKY</v>
      </c>
      <c r="C3571" s="4">
        <v>842146318</v>
      </c>
      <c r="D3571" s="3" t="s">
        <v>0</v>
      </c>
      <c r="E3571" s="2" t="str">
        <f>"PR97100018D"</f>
        <v>PR97100018D</v>
      </c>
      <c r="F3571" s="5">
        <v>44463</v>
      </c>
      <c r="G3571" s="5">
        <v>54789</v>
      </c>
      <c r="H3571" s="4" t="str">
        <f>""</f>
        <v/>
      </c>
      <c r="I3571" s="4" t="str">
        <f>""</f>
        <v/>
      </c>
    </row>
    <row r="3572" spans="1:9" x14ac:dyDescent="0.3">
      <c r="A3572" s="1" t="str">
        <f>"972"</f>
        <v>972</v>
      </c>
      <c r="B3572" s="4" t="str">
        <f>"BERAL AUTO"</f>
        <v>BERAL AUTO</v>
      </c>
      <c r="C3572" s="4">
        <v>325678571</v>
      </c>
      <c r="D3572" s="3" t="s">
        <v>0</v>
      </c>
      <c r="E3572" s="2" t="str">
        <f>"PR97200003D"</f>
        <v>PR97200003D</v>
      </c>
      <c r="F3572" s="5">
        <v>39989</v>
      </c>
      <c r="G3572" s="5">
        <v>54789</v>
      </c>
      <c r="H3572" s="4" t="str">
        <f>""</f>
        <v/>
      </c>
      <c r="I3572" s="4" t="str">
        <f>""</f>
        <v/>
      </c>
    </row>
    <row r="3573" spans="1:9" x14ac:dyDescent="0.3">
      <c r="A3573" s="1" t="str">
        <f>"972"</f>
        <v>972</v>
      </c>
      <c r="B3573" s="4" t="str">
        <f>"BERAL AUTO"</f>
        <v>BERAL AUTO</v>
      </c>
      <c r="C3573" s="4">
        <v>325678571</v>
      </c>
      <c r="D3573" s="3" t="s">
        <v>0</v>
      </c>
      <c r="E3573" s="2" t="str">
        <f>"0022300005"</f>
        <v>0022300005</v>
      </c>
      <c r="F3573" s="5">
        <v>39989</v>
      </c>
      <c r="G3573" s="5">
        <v>54789</v>
      </c>
      <c r="H3573" s="4" t="str">
        <f>""</f>
        <v/>
      </c>
      <c r="I3573" s="4" t="str">
        <f>""</f>
        <v/>
      </c>
    </row>
    <row r="3574" spans="1:9" x14ac:dyDescent="0.3">
      <c r="A3574" s="1" t="str">
        <f>"972"</f>
        <v>972</v>
      </c>
      <c r="B3574" s="4" t="str">
        <f>"CENTRALE CASS¿AUTO"</f>
        <v>CENTRALE CASS¿AUTO</v>
      </c>
      <c r="C3574" s="4">
        <v>402260632</v>
      </c>
      <c r="D3574" s="3" t="s">
        <v>0</v>
      </c>
      <c r="E3574" s="2" t="str">
        <f>"PR97200002D"</f>
        <v>PR97200002D</v>
      </c>
      <c r="F3574" s="5">
        <v>40107</v>
      </c>
      <c r="G3574" s="5">
        <v>54789</v>
      </c>
      <c r="H3574" s="4" t="str">
        <f>""</f>
        <v/>
      </c>
      <c r="I3574" s="4" t="str">
        <f>""</f>
        <v/>
      </c>
    </row>
    <row r="3575" spans="1:9" x14ac:dyDescent="0.3">
      <c r="A3575" s="1" t="str">
        <f>"972"</f>
        <v>972</v>
      </c>
      <c r="B3575" s="4" t="str">
        <f>"CENTRALE CASS¿AUTO"</f>
        <v>CENTRALE CASS¿AUTO</v>
      </c>
      <c r="C3575" s="4">
        <v>402260632</v>
      </c>
      <c r="D3575" s="3" t="s">
        <v>0</v>
      </c>
      <c r="E3575" s="2" t="str">
        <f>"0100001371"</f>
        <v>0100001371</v>
      </c>
      <c r="F3575" s="5">
        <v>40107</v>
      </c>
      <c r="G3575" s="5">
        <v>54789</v>
      </c>
      <c r="H3575" s="4" t="str">
        <f>""</f>
        <v/>
      </c>
      <c r="I3575" s="4" t="str">
        <f>""</f>
        <v/>
      </c>
    </row>
    <row r="3576" spans="1:9" x14ac:dyDescent="0.3">
      <c r="A3576" s="1" t="str">
        <f>"972"</f>
        <v>972</v>
      </c>
      <c r="B3576" s="4" t="str">
        <f>"METAL DOM"</f>
        <v>METAL DOM</v>
      </c>
      <c r="C3576" s="4">
        <v>442716015</v>
      </c>
      <c r="D3576" s="3" t="s">
        <v>0</v>
      </c>
      <c r="E3576" s="2" t="str">
        <f>"PR97200006D"</f>
        <v>PR97200006D</v>
      </c>
      <c r="F3576" s="5">
        <v>37972</v>
      </c>
      <c r="G3576" s="5">
        <v>54789</v>
      </c>
      <c r="H3576" s="4" t="str">
        <f>""</f>
        <v/>
      </c>
      <c r="I3576" s="4" t="str">
        <f>""</f>
        <v/>
      </c>
    </row>
    <row r="3577" spans="1:9" x14ac:dyDescent="0.3">
      <c r="A3577" s="1" t="str">
        <f>"972"</f>
        <v>972</v>
      </c>
      <c r="B3577" s="4" t="str">
        <f>"METAL DOM"</f>
        <v>METAL DOM</v>
      </c>
      <c r="C3577" s="4">
        <v>442716015</v>
      </c>
      <c r="D3577" s="3" t="s">
        <v>0</v>
      </c>
      <c r="E3577" s="2" t="str">
        <f>"0006900617"</f>
        <v>0006900617</v>
      </c>
      <c r="F3577" s="5">
        <v>37972</v>
      </c>
      <c r="G3577" s="5">
        <v>54789</v>
      </c>
      <c r="H3577" s="4" t="str">
        <f>""</f>
        <v/>
      </c>
      <c r="I3577" s="4" t="str">
        <f>""</f>
        <v/>
      </c>
    </row>
    <row r="3578" spans="1:9" x14ac:dyDescent="0.3">
      <c r="A3578" s="1" t="str">
        <f>"972"</f>
        <v>972</v>
      </c>
      <c r="B3578" s="4" t="str">
        <f>"METAL CARAIB"</f>
        <v>METAL CARAIB</v>
      </c>
      <c r="C3578" s="4">
        <v>497648535</v>
      </c>
      <c r="D3578" s="3" t="s">
        <v>0</v>
      </c>
      <c r="E3578" s="2" t="str">
        <f>"PR97200005D"</f>
        <v>PR97200005D</v>
      </c>
      <c r="F3578" s="5">
        <v>41780</v>
      </c>
      <c r="G3578" s="5">
        <v>54789</v>
      </c>
      <c r="H3578" s="4" t="str">
        <f>""</f>
        <v/>
      </c>
      <c r="I3578" s="4" t="str">
        <f>""</f>
        <v/>
      </c>
    </row>
    <row r="3579" spans="1:9" x14ac:dyDescent="0.3">
      <c r="A3579" s="1" t="str">
        <f>"972"</f>
        <v>972</v>
      </c>
      <c r="B3579" s="4" t="str">
        <f>"METAL CARAIB"</f>
        <v>METAL CARAIB</v>
      </c>
      <c r="C3579" s="4">
        <v>497648535</v>
      </c>
      <c r="D3579" s="3" t="s">
        <v>0</v>
      </c>
      <c r="E3579" s="2" t="str">
        <f>"0022200573"</f>
        <v>0022200573</v>
      </c>
      <c r="F3579" s="5">
        <v>41780</v>
      </c>
      <c r="G3579" s="5">
        <v>54789</v>
      </c>
      <c r="H3579" s="4" t="str">
        <f>""</f>
        <v/>
      </c>
      <c r="I3579" s="4" t="str">
        <f>""</f>
        <v/>
      </c>
    </row>
    <row r="3580" spans="1:9" x14ac:dyDescent="0.3">
      <c r="A3580" s="1" t="str">
        <f>"972"</f>
        <v>972</v>
      </c>
      <c r="B3580" s="4" t="str">
        <f>"CASSE AUTO NOUVELLE FORMULE 2"</f>
        <v>CASSE AUTO NOUVELLE FORMULE 2</v>
      </c>
      <c r="C3580" s="4">
        <v>822987236</v>
      </c>
      <c r="D3580" s="3" t="s">
        <v>0</v>
      </c>
      <c r="E3580" s="2" t="str">
        <f>"PR97200004D"</f>
        <v>PR97200004D</v>
      </c>
      <c r="F3580" s="5">
        <v>42856</v>
      </c>
      <c r="G3580" s="5">
        <v>54789</v>
      </c>
      <c r="H3580" s="4" t="str">
        <f>""</f>
        <v/>
      </c>
      <c r="I3580" s="4" t="str">
        <f>""</f>
        <v/>
      </c>
    </row>
    <row r="3581" spans="1:9" x14ac:dyDescent="0.3">
      <c r="A3581" s="1" t="str">
        <f>"972"</f>
        <v>972</v>
      </c>
      <c r="B3581" s="4" t="str">
        <f>"CASSE AUTO NOUVELLE FORMULE 2"</f>
        <v>CASSE AUTO NOUVELLE FORMULE 2</v>
      </c>
      <c r="C3581" s="4">
        <v>822987236</v>
      </c>
      <c r="D3581" s="3" t="s">
        <v>0</v>
      </c>
      <c r="E3581" s="2" t="str">
        <f>"006900407"</f>
        <v>006900407</v>
      </c>
      <c r="F3581" s="5">
        <v>42856</v>
      </c>
      <c r="G3581" s="5">
        <v>54789</v>
      </c>
      <c r="H3581" s="4" t="str">
        <f>""</f>
        <v/>
      </c>
      <c r="I3581" s="4" t="str">
        <f>""</f>
        <v/>
      </c>
    </row>
    <row r="3582" spans="1:9" x14ac:dyDescent="0.3">
      <c r="A3582" s="1" t="str">
        <f>"973"</f>
        <v>973</v>
      </c>
      <c r="B3582" s="4" t="str">
        <f>"Harry Scrap Metal (HSM)"</f>
        <v>Harry Scrap Metal (HSM)</v>
      </c>
      <c r="C3582" s="4">
        <v>790534275</v>
      </c>
      <c r="D3582" s="3" t="s">
        <v>0</v>
      </c>
      <c r="E3582" s="2" t="str">
        <f>"PR973002D"</f>
        <v>PR973002D</v>
      </c>
      <c r="F3582" s="5">
        <v>42074</v>
      </c>
      <c r="G3582" s="5">
        <v>54789</v>
      </c>
      <c r="H3582" s="4" t="str">
        <f>""</f>
        <v/>
      </c>
      <c r="I3582" s="4" t="str">
        <f>""</f>
        <v/>
      </c>
    </row>
    <row r="3583" spans="1:9" x14ac:dyDescent="0.3">
      <c r="A3583" s="1" t="str">
        <f>"973"</f>
        <v>973</v>
      </c>
      <c r="B3583" s="4" t="str">
        <f>"Harry Scrap Metal (HSM)"</f>
        <v>Harry Scrap Metal (HSM)</v>
      </c>
      <c r="C3583" s="4">
        <v>790534275</v>
      </c>
      <c r="D3583" s="3" t="s">
        <v>0</v>
      </c>
      <c r="E3583" s="2" t="str">
        <f>"0022300250"</f>
        <v>0022300250</v>
      </c>
      <c r="F3583" s="5">
        <v>42074</v>
      </c>
      <c r="G3583" s="5">
        <v>54789</v>
      </c>
      <c r="H3583" s="4" t="str">
        <f>""</f>
        <v/>
      </c>
      <c r="I3583" s="4" t="str">
        <f>""</f>
        <v/>
      </c>
    </row>
    <row r="3584" spans="1:9" x14ac:dyDescent="0.3">
      <c r="A3584" s="1" t="str">
        <f>"973"</f>
        <v>973</v>
      </c>
      <c r="B3584" s="4" t="str">
        <f>"MARSY RECYCLAGE KOUROU"</f>
        <v>MARSY RECYCLAGE KOUROU</v>
      </c>
      <c r="C3584" s="4">
        <v>819701426</v>
      </c>
      <c r="D3584" s="3" t="s">
        <v>0</v>
      </c>
      <c r="E3584" s="2" t="str">
        <f>"PR973004D"</f>
        <v>PR973004D</v>
      </c>
      <c r="F3584" s="5">
        <v>42485</v>
      </c>
      <c r="G3584" s="5">
        <v>54789</v>
      </c>
      <c r="H3584" s="4" t="str">
        <f>""</f>
        <v/>
      </c>
      <c r="I3584" s="4" t="str">
        <f>""</f>
        <v/>
      </c>
    </row>
    <row r="3585" spans="1:9" x14ac:dyDescent="0.3">
      <c r="A3585" s="1" t="str">
        <f>"973"</f>
        <v>973</v>
      </c>
      <c r="B3585" s="4" t="str">
        <f>"MARSY RECYCLAGE KOUROU"</f>
        <v>MARSY RECYCLAGE KOUROU</v>
      </c>
      <c r="C3585" s="4">
        <v>819701426</v>
      </c>
      <c r="D3585" s="3" t="s">
        <v>0</v>
      </c>
      <c r="E3585" s="2" t="str">
        <f>"0022300037"</f>
        <v>0022300037</v>
      </c>
      <c r="F3585" s="5">
        <v>42485</v>
      </c>
      <c r="G3585" s="5">
        <v>54789</v>
      </c>
      <c r="H3585" s="4" t="str">
        <f>""</f>
        <v/>
      </c>
      <c r="I3585" s="4" t="str">
        <f>""</f>
        <v/>
      </c>
    </row>
    <row r="3586" spans="1:9" x14ac:dyDescent="0.3">
      <c r="A3586" s="1" t="str">
        <f>"973"</f>
        <v>973</v>
      </c>
      <c r="B3586" s="4" t="str">
        <f>"ML AUTO"</f>
        <v>ML AUTO</v>
      </c>
      <c r="C3586" s="4">
        <v>878158427</v>
      </c>
      <c r="D3586" s="3" t="s">
        <v>0</v>
      </c>
      <c r="E3586" s="2" t="str">
        <f>"PR9730006D"</f>
        <v>PR9730006D</v>
      </c>
      <c r="F3586" s="5">
        <v>45156</v>
      </c>
      <c r="G3586" s="5">
        <v>54789</v>
      </c>
      <c r="H3586" s="4" t="str">
        <f>""</f>
        <v/>
      </c>
      <c r="I3586" s="4" t="str">
        <f>""</f>
        <v/>
      </c>
    </row>
    <row r="3587" spans="1:9" x14ac:dyDescent="0.3">
      <c r="A3587" s="1" t="str">
        <f>"973"</f>
        <v>973</v>
      </c>
      <c r="B3587" s="4" t="str">
        <f>"ML AUTO"</f>
        <v>ML AUTO</v>
      </c>
      <c r="C3587" s="4">
        <v>878158427</v>
      </c>
      <c r="D3587" s="3" t="s">
        <v>0</v>
      </c>
      <c r="E3587" s="2" t="str">
        <f>"0022300321"</f>
        <v>0022300321</v>
      </c>
      <c r="F3587" s="5">
        <v>45156</v>
      </c>
      <c r="G3587" s="5">
        <v>54789</v>
      </c>
      <c r="H3587" s="4" t="str">
        <f>""</f>
        <v/>
      </c>
      <c r="I3587" s="4" t="str">
        <f>""</f>
        <v/>
      </c>
    </row>
    <row r="3588" spans="1:9" x14ac:dyDescent="0.3">
      <c r="A3588" s="1" t="str">
        <f>"973"</f>
        <v>973</v>
      </c>
      <c r="B3588" s="4" t="str">
        <f>"SOCIETE GUYANAISE DE RECYCLAGE"</f>
        <v>SOCIETE GUYANAISE DE RECYCLAGE</v>
      </c>
      <c r="C3588" s="4">
        <v>881059281</v>
      </c>
      <c r="D3588" s="3" t="s">
        <v>0</v>
      </c>
      <c r="E3588" s="2" t="str">
        <f>"PR973005D"</f>
        <v>PR973005D</v>
      </c>
      <c r="F3588" s="5">
        <v>44908</v>
      </c>
      <c r="G3588" s="5">
        <v>54789</v>
      </c>
      <c r="H3588" s="4" t="str">
        <f>""</f>
        <v/>
      </c>
      <c r="I3588" s="4" t="str">
        <f>""</f>
        <v/>
      </c>
    </row>
    <row r="3589" spans="1:9" x14ac:dyDescent="0.3">
      <c r="A3589" s="1" t="str">
        <f>"973"</f>
        <v>973</v>
      </c>
      <c r="B3589" s="4" t="str">
        <f>"SOCIETE GUYANAISE DE RECYCLAGE"</f>
        <v>SOCIETE GUYANAISE DE RECYCLAGE</v>
      </c>
      <c r="C3589" s="4">
        <v>881059281</v>
      </c>
      <c r="D3589" s="3" t="s">
        <v>0</v>
      </c>
      <c r="E3589" s="2" t="str">
        <f>"0100005274"</f>
        <v>0100005274</v>
      </c>
      <c r="F3589" s="5">
        <v>44908</v>
      </c>
      <c r="G3589" s="5">
        <v>54789</v>
      </c>
      <c r="H3589" s="4" t="str">
        <f>""</f>
        <v/>
      </c>
      <c r="I3589" s="4" t="str">
        <f>""</f>
        <v/>
      </c>
    </row>
    <row r="3590" spans="1:9" x14ac:dyDescent="0.3">
      <c r="A3590" s="1" t="str">
        <f>"974"</f>
        <v>974</v>
      </c>
      <c r="B3590" s="4" t="str">
        <f>"SARL GENERALL AUTOS"</f>
        <v>SARL GENERALL AUTOS</v>
      </c>
      <c r="C3590" s="4">
        <v>318226545</v>
      </c>
      <c r="D3590" s="3" t="s">
        <v>0</v>
      </c>
      <c r="E3590" s="2" t="str">
        <f>"0007100039"</f>
        <v>0007100039</v>
      </c>
      <c r="F3590" s="5">
        <v>41079</v>
      </c>
      <c r="G3590" s="5">
        <v>54789</v>
      </c>
      <c r="H3590" s="4" t="str">
        <f>""</f>
        <v/>
      </c>
      <c r="I3590" s="4" t="str">
        <f>""</f>
        <v/>
      </c>
    </row>
    <row r="3591" spans="1:9" x14ac:dyDescent="0.3">
      <c r="A3591" s="1" t="str">
        <f>"974"</f>
        <v>974</v>
      </c>
      <c r="B3591" s="4" t="str">
        <f>"GENERALL AUTOS"</f>
        <v>GENERALL AUTOS</v>
      </c>
      <c r="C3591" s="4">
        <v>318226545</v>
      </c>
      <c r="D3591" s="3" t="s">
        <v>0</v>
      </c>
      <c r="E3591" s="2" t="str">
        <f>"0007100834"</f>
        <v>0007100834</v>
      </c>
      <c r="F3591" s="5">
        <v>41079</v>
      </c>
      <c r="G3591" s="5">
        <v>54789</v>
      </c>
      <c r="H3591" s="4" t="str">
        <f>""</f>
        <v/>
      </c>
      <c r="I3591" s="4" t="str">
        <f>""</f>
        <v/>
      </c>
    </row>
    <row r="3592" spans="1:9" x14ac:dyDescent="0.3">
      <c r="A3592" s="1" t="str">
        <f>"974"</f>
        <v>974</v>
      </c>
      <c r="B3592" s="4" t="str">
        <f>"SARL GENERALL AUTOS"</f>
        <v>SARL GENERALL AUTOS</v>
      </c>
      <c r="C3592" s="4">
        <v>318226545</v>
      </c>
      <c r="D3592" s="3" t="s">
        <v>0</v>
      </c>
      <c r="E3592" s="2" t="str">
        <f>"PR9740004D"</f>
        <v>PR9740004D</v>
      </c>
      <c r="F3592" s="5">
        <v>41079</v>
      </c>
      <c r="G3592" s="5">
        <v>54789</v>
      </c>
      <c r="H3592" s="4" t="str">
        <f>""</f>
        <v/>
      </c>
      <c r="I3592" s="4" t="str">
        <f>""</f>
        <v/>
      </c>
    </row>
    <row r="3593" spans="1:9" x14ac:dyDescent="0.3">
      <c r="A3593" s="1" t="str">
        <f>"974"</f>
        <v>974</v>
      </c>
      <c r="B3593" s="4" t="str">
        <f>"GENERALL AUTOS"</f>
        <v>GENERALL AUTOS</v>
      </c>
      <c r="C3593" s="4">
        <v>318226545</v>
      </c>
      <c r="D3593" s="3" t="s">
        <v>0</v>
      </c>
      <c r="E3593" s="2" t="str">
        <f>"PR9740007D"</f>
        <v>PR9740007D</v>
      </c>
      <c r="F3593" s="5">
        <v>41079</v>
      </c>
      <c r="G3593" s="5">
        <v>54789</v>
      </c>
      <c r="H3593" s="4" t="str">
        <f>""</f>
        <v/>
      </c>
      <c r="I3593" s="4" t="str">
        <f>""</f>
        <v/>
      </c>
    </row>
    <row r="3594" spans="1:9" x14ac:dyDescent="0.3">
      <c r="A3594" s="1" t="str">
        <f>"974"</f>
        <v>974</v>
      </c>
      <c r="B3594" s="4" t="str">
        <f>"CUB AC CASSE"</f>
        <v>CUB AC CASSE</v>
      </c>
      <c r="C3594" s="4">
        <v>347543589</v>
      </c>
      <c r="D3594" s="3" t="s">
        <v>0</v>
      </c>
      <c r="E3594" s="2" t="str">
        <f>"0007100718"</f>
        <v>0007100718</v>
      </c>
      <c r="F3594" s="5">
        <v>41067</v>
      </c>
      <c r="G3594" s="5">
        <v>54789</v>
      </c>
      <c r="H3594" s="4" t="str">
        <f>""</f>
        <v/>
      </c>
      <c r="I3594" s="4" t="str">
        <f>""</f>
        <v/>
      </c>
    </row>
    <row r="3595" spans="1:9" x14ac:dyDescent="0.3">
      <c r="A3595" s="1" t="str">
        <f>"974"</f>
        <v>974</v>
      </c>
      <c r="B3595" s="4" t="str">
        <f>"CUB AC CASSE"</f>
        <v>CUB AC CASSE</v>
      </c>
      <c r="C3595" s="4">
        <v>347543589</v>
      </c>
      <c r="D3595" s="3" t="s">
        <v>0</v>
      </c>
      <c r="E3595" s="2" t="str">
        <f>"PR9740003D"</f>
        <v>PR9740003D</v>
      </c>
      <c r="F3595" s="5">
        <v>41067</v>
      </c>
      <c r="G3595" s="5">
        <v>54789</v>
      </c>
      <c r="H3595" s="4" t="str">
        <f>""</f>
        <v/>
      </c>
      <c r="I3595" s="4" t="str">
        <f>""</f>
        <v/>
      </c>
    </row>
    <row r="3596" spans="1:9" x14ac:dyDescent="0.3">
      <c r="A3596" s="1" t="str">
        <f>"974"</f>
        <v>974</v>
      </c>
      <c r="B3596" s="4" t="str">
        <f>"CASSE DE LA SOURCE"</f>
        <v>CASSE DE LA SOURCE</v>
      </c>
      <c r="C3596" s="4">
        <v>398108191</v>
      </c>
      <c r="D3596" s="3" t="s">
        <v>0</v>
      </c>
      <c r="E3596" s="2" t="str">
        <f>"0007101626"</f>
        <v>0007101626</v>
      </c>
      <c r="F3596" s="5">
        <v>41569</v>
      </c>
      <c r="G3596" s="5">
        <v>54789</v>
      </c>
      <c r="H3596" s="4" t="str">
        <f>""</f>
        <v/>
      </c>
      <c r="I3596" s="4" t="str">
        <f>""</f>
        <v/>
      </c>
    </row>
    <row r="3597" spans="1:9" x14ac:dyDescent="0.3">
      <c r="A3597" s="1" t="str">
        <f>"974"</f>
        <v>974</v>
      </c>
      <c r="B3597" s="4" t="str">
        <f>"CASSE DE LA SOURCE"</f>
        <v>CASSE DE LA SOURCE</v>
      </c>
      <c r="C3597" s="4">
        <v>398108191</v>
      </c>
      <c r="D3597" s="3" t="s">
        <v>0</v>
      </c>
      <c r="E3597" s="2" t="str">
        <f>"PR9740009D"</f>
        <v>PR9740009D</v>
      </c>
      <c r="F3597" s="5">
        <v>41569</v>
      </c>
      <c r="G3597" s="5">
        <v>54789</v>
      </c>
      <c r="H3597" s="4" t="str">
        <f>""</f>
        <v/>
      </c>
      <c r="I3597" s="4" t="str">
        <f>""</f>
        <v/>
      </c>
    </row>
    <row r="3598" spans="1:9" x14ac:dyDescent="0.3">
      <c r="A3598" s="1" t="str">
        <f>"974"</f>
        <v>974</v>
      </c>
      <c r="B3598" s="4" t="str">
        <f>"SOCIETE CDAA"</f>
        <v>SOCIETE CDAA</v>
      </c>
      <c r="C3598" s="4">
        <v>420627945</v>
      </c>
      <c r="D3598" s="3" t="s">
        <v>0</v>
      </c>
      <c r="E3598" s="2" t="str">
        <f>"0007100214"</f>
        <v>0007100214</v>
      </c>
      <c r="F3598" s="5">
        <v>43840</v>
      </c>
      <c r="G3598" s="5">
        <v>54789</v>
      </c>
      <c r="H3598" s="4" t="str">
        <f>""</f>
        <v/>
      </c>
      <c r="I3598" s="4" t="str">
        <f>""</f>
        <v/>
      </c>
    </row>
    <row r="3599" spans="1:9" x14ac:dyDescent="0.3">
      <c r="A3599" s="1" t="str">
        <f>"974"</f>
        <v>974</v>
      </c>
      <c r="B3599" s="4" t="str">
        <f>"SOCIETE CDAA"</f>
        <v>SOCIETE CDAA</v>
      </c>
      <c r="C3599" s="4">
        <v>420627945</v>
      </c>
      <c r="D3599" s="3" t="s">
        <v>0</v>
      </c>
      <c r="E3599" s="2" t="str">
        <f>"PR9740002D"</f>
        <v>PR9740002D</v>
      </c>
      <c r="F3599" s="5">
        <v>43840</v>
      </c>
      <c r="G3599" s="5">
        <v>54789</v>
      </c>
      <c r="H3599" s="4" t="str">
        <f>""</f>
        <v/>
      </c>
      <c r="I3599" s="4" t="str">
        <f>""</f>
        <v/>
      </c>
    </row>
    <row r="3600" spans="1:9" x14ac:dyDescent="0.3">
      <c r="A3600" s="1" t="str">
        <f>"974"</f>
        <v>974</v>
      </c>
      <c r="B3600" s="4" t="str">
        <f>"SAMARAPATY REGIS"</f>
        <v>SAMARAPATY REGIS</v>
      </c>
      <c r="C3600" s="4">
        <v>421811894</v>
      </c>
      <c r="D3600" s="3" t="s">
        <v>0</v>
      </c>
      <c r="E3600" s="2" t="str">
        <f>"PR9740006D"</f>
        <v>PR9740006D</v>
      </c>
      <c r="F3600" s="5">
        <v>43840</v>
      </c>
      <c r="G3600" s="5">
        <v>54789</v>
      </c>
      <c r="H3600" s="4" t="str">
        <f>""</f>
        <v/>
      </c>
      <c r="I3600" s="4" t="str">
        <f>""</f>
        <v/>
      </c>
    </row>
    <row r="3601" spans="1:9" x14ac:dyDescent="0.3">
      <c r="A3601" s="1" t="str">
        <f>"974"</f>
        <v>974</v>
      </c>
      <c r="B3601" s="4" t="str">
        <f>"SAMARAPATY REGIS"</f>
        <v>SAMARAPATY REGIS</v>
      </c>
      <c r="C3601" s="4">
        <v>421811894</v>
      </c>
      <c r="D3601" s="3" t="s">
        <v>0</v>
      </c>
      <c r="E3601" s="2" t="str">
        <f>"0007101255"</f>
        <v>0007101255</v>
      </c>
      <c r="F3601" s="5">
        <v>43840</v>
      </c>
      <c r="G3601" s="5">
        <v>54789</v>
      </c>
      <c r="H3601" s="4" t="str">
        <f>""</f>
        <v/>
      </c>
      <c r="I3601" s="4" t="str">
        <f>""</f>
        <v/>
      </c>
    </row>
    <row r="3602" spans="1:9" x14ac:dyDescent="0.3">
      <c r="A3602" s="1" t="str">
        <f>"974"</f>
        <v>974</v>
      </c>
      <c r="B3602" s="4" t="str">
        <f>"SAMARAPATY REGIS"</f>
        <v>SAMARAPATY REGIS</v>
      </c>
      <c r="C3602" s="4">
        <v>421811894</v>
      </c>
      <c r="D3602" s="3" t="s">
        <v>0</v>
      </c>
      <c r="E3602" s="2" t="str">
        <f>"PR9740006D"</f>
        <v>PR9740006D</v>
      </c>
      <c r="F3602" s="5">
        <v>43840</v>
      </c>
      <c r="G3602" s="5">
        <v>54789</v>
      </c>
      <c r="H3602" s="4" t="str">
        <f>""</f>
        <v/>
      </c>
      <c r="I3602" s="4" t="str">
        <f>""</f>
        <v/>
      </c>
    </row>
    <row r="3603" spans="1:9" x14ac:dyDescent="0.3">
      <c r="A3603" s="1" t="str">
        <f>"974"</f>
        <v>974</v>
      </c>
      <c r="B3603" s="4" t="str">
        <f>"METAL REUNION"</f>
        <v>METAL REUNION</v>
      </c>
      <c r="C3603" s="4">
        <v>430456400</v>
      </c>
      <c r="D3603" s="3" t="s">
        <v>0</v>
      </c>
      <c r="E3603" s="2" t="str">
        <f>"PR9740008D"</f>
        <v>PR9740008D</v>
      </c>
      <c r="F3603" s="5">
        <v>42240</v>
      </c>
      <c r="G3603" s="5">
        <v>54789</v>
      </c>
      <c r="H3603" s="4" t="str">
        <f>""</f>
        <v/>
      </c>
      <c r="I3603" s="4" t="str">
        <f>""</f>
        <v/>
      </c>
    </row>
    <row r="3604" spans="1:9" x14ac:dyDescent="0.3">
      <c r="A3604" s="1" t="str">
        <f>"974"</f>
        <v>974</v>
      </c>
      <c r="B3604" s="4" t="str">
        <f>"SOCIETE ALDO RECYCLAGE REUNION"</f>
        <v>SOCIETE ALDO RECYCLAGE REUNION</v>
      </c>
      <c r="C3604" s="4">
        <v>437730229</v>
      </c>
      <c r="D3604" s="3" t="s">
        <v>0</v>
      </c>
      <c r="E3604" s="2" t="str">
        <f>"0007101759"</f>
        <v>0007101759</v>
      </c>
      <c r="F3604" s="5">
        <v>42397</v>
      </c>
      <c r="G3604" s="5">
        <v>54789</v>
      </c>
      <c r="H3604" s="4" t="str">
        <f>""</f>
        <v/>
      </c>
      <c r="I3604" s="4" t="str">
        <f>""</f>
        <v/>
      </c>
    </row>
    <row r="3605" spans="1:9" x14ac:dyDescent="0.3">
      <c r="A3605" s="1" t="str">
        <f>"974"</f>
        <v>974</v>
      </c>
      <c r="B3605" s="4" t="str">
        <f>"SOCIETE ALDO RECYCLAGE REUNION"</f>
        <v>SOCIETE ALDO RECYCLAGE REUNION</v>
      </c>
      <c r="C3605" s="4">
        <v>437730229</v>
      </c>
      <c r="D3605" s="3" t="s">
        <v>0</v>
      </c>
      <c r="E3605" s="2" t="str">
        <f>"PR9740010D"</f>
        <v>PR9740010D</v>
      </c>
      <c r="F3605" s="5">
        <v>42397</v>
      </c>
      <c r="G3605" s="5">
        <v>54789</v>
      </c>
      <c r="H3605" s="4" t="str">
        <f>""</f>
        <v/>
      </c>
      <c r="I3605" s="4" t="str">
        <f>""</f>
        <v/>
      </c>
    </row>
    <row r="3606" spans="1:9" x14ac:dyDescent="0.3">
      <c r="A3606" s="1" t="str">
        <f>"974"</f>
        <v>974</v>
      </c>
      <c r="B3606" s="4" t="str">
        <f>"SOCIETE ONZE RECYCLE"</f>
        <v>SOCIETE ONZE RECYCLE</v>
      </c>
      <c r="C3606" s="4">
        <v>810714402</v>
      </c>
      <c r="D3606" s="3" t="s">
        <v>0</v>
      </c>
      <c r="E3606" s="2" t="str">
        <f>"0007101985"</f>
        <v>0007101985</v>
      </c>
      <c r="F3606" s="5">
        <v>42410</v>
      </c>
      <c r="G3606" s="5">
        <v>54789</v>
      </c>
      <c r="H3606" s="4" t="str">
        <f>""</f>
        <v/>
      </c>
      <c r="I3606" s="4" t="str">
        <f>""</f>
        <v/>
      </c>
    </row>
    <row r="3607" spans="1:9" x14ac:dyDescent="0.3">
      <c r="A3607" s="1" t="str">
        <f>"974"</f>
        <v>974</v>
      </c>
      <c r="B3607" s="4" t="str">
        <f>"SOCIETE ONZE RECYCLE"</f>
        <v>SOCIETE ONZE RECYCLE</v>
      </c>
      <c r="C3607" s="4">
        <v>810714402</v>
      </c>
      <c r="D3607" s="3" t="s">
        <v>0</v>
      </c>
      <c r="E3607" s="2" t="str">
        <f>"PR9740011D"</f>
        <v>PR9740011D</v>
      </c>
      <c r="F3607" s="5">
        <v>42410</v>
      </c>
      <c r="G3607" s="5">
        <v>54789</v>
      </c>
      <c r="H3607" s="4" t="str">
        <f>""</f>
        <v/>
      </c>
      <c r="I3607" s="4" t="str">
        <f>""</f>
        <v/>
      </c>
    </row>
    <row r="3608" spans="1:9" x14ac:dyDescent="0.3">
      <c r="A3608" s="1" t="str">
        <f>"974 "</f>
        <v xml:space="preserve">974 </v>
      </c>
      <c r="B3608" s="4" t="str">
        <f>"METAL REUNION"</f>
        <v>METAL REUNION</v>
      </c>
      <c r="C3608" s="4">
        <v>430456400</v>
      </c>
      <c r="D3608" s="3" t="s">
        <v>0</v>
      </c>
      <c r="E3608" s="2" t="str">
        <f>"0007100702"</f>
        <v>0007100702</v>
      </c>
      <c r="F3608" s="5">
        <v>42240</v>
      </c>
      <c r="G3608" s="5">
        <v>54789</v>
      </c>
      <c r="H3608" s="4" t="str">
        <f>""</f>
        <v/>
      </c>
      <c r="I3608" s="4" t="str">
        <f>""</f>
        <v/>
      </c>
    </row>
    <row r="3609" spans="1:9" x14ac:dyDescent="0.3">
      <c r="A3609" s="1" t="str">
        <f>"976"</f>
        <v>976</v>
      </c>
      <c r="B3609" s="4" t="str">
        <f>"CARCASSE AUTO"</f>
        <v>CARCASSE AUTO</v>
      </c>
      <c r="C3609" s="4">
        <v>66311283</v>
      </c>
      <c r="D3609" s="3" t="s">
        <v>0</v>
      </c>
      <c r="E3609" s="2" t="str">
        <f>"PR97600001D"</f>
        <v>PR97600001D</v>
      </c>
      <c r="F3609" s="5">
        <v>43472</v>
      </c>
      <c r="G3609" s="5">
        <v>54789</v>
      </c>
      <c r="H3609" s="4" t="str">
        <f>""</f>
        <v/>
      </c>
      <c r="I3609" s="4" t="str">
        <f>""</f>
        <v/>
      </c>
    </row>
    <row r="3610" spans="1:9" x14ac:dyDescent="0.3">
      <c r="A3610" s="1" t="str">
        <f>"976"</f>
        <v>976</v>
      </c>
      <c r="B3610" s="4" t="str">
        <f>"VAN AUTO 2 OI"</f>
        <v>VAN AUTO 2 OI</v>
      </c>
      <c r="C3610" s="4">
        <v>344145834</v>
      </c>
      <c r="D3610" s="3" t="s">
        <v>0</v>
      </c>
      <c r="E3610" s="2" t="str">
        <f>"PR97600002D"</f>
        <v>PR97600002D</v>
      </c>
      <c r="F3610" s="5">
        <v>43745</v>
      </c>
      <c r="G3610" s="5">
        <v>54789</v>
      </c>
      <c r="H3610" s="4" t="str">
        <f>""</f>
        <v/>
      </c>
      <c r="I3610" s="4" t="str">
        <f>""</f>
        <v/>
      </c>
    </row>
    <row r="3611" spans="1:9" x14ac:dyDescent="0.3">
      <c r="A3611" s="1" t="str">
        <f>"976"</f>
        <v>976</v>
      </c>
      <c r="B3611" s="4" t="str">
        <f>"CAZA PIECES AUTOS"</f>
        <v>CAZA PIECES AUTOS</v>
      </c>
      <c r="C3611" s="4">
        <v>879347714</v>
      </c>
      <c r="D3611" s="3" t="s">
        <v>0</v>
      </c>
      <c r="E3611" s="2" t="str">
        <f>"PR97600003D"</f>
        <v>PR97600003D</v>
      </c>
      <c r="F3611" s="5">
        <v>43930</v>
      </c>
      <c r="G3611" s="5">
        <v>54789</v>
      </c>
      <c r="H3611" s="4" t="str">
        <f>""</f>
        <v/>
      </c>
      <c r="I3611" s="4" t="str">
        <f>""</f>
        <v/>
      </c>
    </row>
  </sheetData>
  <autoFilter ref="A9:I3611">
    <sortState ref="A10:I4796">
      <sortCondition ref="A9:A4796"/>
    </sortState>
  </autoFilter>
  <sortState ref="A10:J4808">
    <sortCondition ref="A12"/>
  </sortState>
  <mergeCells count="2">
    <mergeCell ref="A1:I6"/>
    <mergeCell ref="A7:I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20260414_REF_CENTRE_VHU-2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AUDEGOND AMANDINE</dc:creator>
  <cp:lastModifiedBy>marques sarah</cp:lastModifiedBy>
  <dcterms:created xsi:type="dcterms:W3CDTF">2026-04-14T14:44:36Z</dcterms:created>
  <dcterms:modified xsi:type="dcterms:W3CDTF">2026-04-14T15:13:12Z</dcterms:modified>
</cp:coreProperties>
</file>